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6900" windowHeight="7140" tabRatio="549" activeTab="1"/>
  </bookViews>
  <sheets>
    <sheet name="Project Info." sheetId="1" r:id="rId1"/>
    <sheet name="Grad. &amp; Batching" sheetId="2" r:id="rId2"/>
    <sheet name="Lab Data" sheetId="3" r:id="rId3"/>
    <sheet name="Vol. Analysis" sheetId="4" r:id="rId4"/>
    <sheet name="T-283" sheetId="5" r:id="rId5"/>
    <sheet name="Lab Recordation Sheet" sheetId="6" r:id="rId6"/>
  </sheets>
  <definedNames>
    <definedName name="Z_A9099A90_C5DB_47FE_A899_D6A8B4F7E043_.wvu.Cols" localSheetId="1" hidden="1">'Grad. &amp; Batching'!$B:$B</definedName>
    <definedName name="Z_DC48F590_FAA7_4A7B_B629_2A2E6DC42345_.wvu.Cols" localSheetId="1" hidden="1">'Grad. &amp; Batching'!$B:$B</definedName>
  </definedNames>
  <calcPr fullCalcOnLoad="1"/>
</workbook>
</file>

<file path=xl/comments2.xml><?xml version="1.0" encoding="utf-8"?>
<comments xmlns="http://schemas.openxmlformats.org/spreadsheetml/2006/main">
  <authors>
    <author>Mark Blow</author>
  </authors>
  <commentList>
    <comment ref="E22" authorId="0">
      <text>
        <r>
          <rPr>
            <b/>
            <sz val="12"/>
            <color indexed="10"/>
            <rFont val="Tahoma"/>
            <family val="2"/>
          </rPr>
          <t>Enter Desired Bin Split Percentages as 0.05 = 5%</t>
        </r>
        <r>
          <rPr>
            <sz val="8"/>
            <rFont val="Tahoma"/>
            <family val="0"/>
          </rPr>
          <t xml:space="preserve">
</t>
        </r>
      </text>
    </comment>
    <comment ref="P22" authorId="0">
      <text>
        <r>
          <rPr>
            <b/>
            <sz val="14"/>
            <color indexed="10"/>
            <rFont val="Tahoma"/>
            <family val="2"/>
          </rPr>
          <t xml:space="preserve">Determine a Spec. Value for all sieve sizes to enhance the appearance of the 45th power chart.
</t>
        </r>
      </text>
    </comment>
  </commentList>
</comments>
</file>

<file path=xl/comments3.xml><?xml version="1.0" encoding="utf-8"?>
<comments xmlns="http://schemas.openxmlformats.org/spreadsheetml/2006/main">
  <authors>
    <author>Mark Blow</author>
  </authors>
  <commentList>
    <comment ref="B20" authorId="0">
      <text>
        <r>
          <rPr>
            <b/>
            <sz val="10"/>
            <color indexed="10"/>
            <rFont val="Tahoma"/>
            <family val="2"/>
          </rPr>
          <t>If only 1 Sample is performed, repeat Specimen  #1 data for Specimen #2.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10"/>
            <color indexed="10"/>
            <rFont val="Tahoma"/>
            <family val="2"/>
          </rPr>
          <t>If only 1 Sample is performed, repeat Specimen  #1 data for Specimen #2.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10"/>
            <color indexed="10"/>
            <rFont val="Tahoma"/>
            <family val="2"/>
          </rPr>
          <t xml:space="preserve">Enter Pb in decimal form 0.045 = 4.5%  </t>
        </r>
      </text>
    </comment>
  </commentList>
</comments>
</file>

<file path=xl/comments6.xml><?xml version="1.0" encoding="utf-8"?>
<comments xmlns="http://schemas.openxmlformats.org/spreadsheetml/2006/main">
  <authors>
    <author>Mark Blow</author>
  </authors>
  <commentList>
    <comment ref="I17" authorId="0">
      <text>
        <r>
          <rPr>
            <b/>
            <sz val="10"/>
            <color indexed="10"/>
            <rFont val="Tahoma"/>
            <family val="2"/>
          </rPr>
          <t xml:space="preserve">This weight </t>
        </r>
        <r>
          <rPr>
            <b/>
            <u val="single"/>
            <sz val="10"/>
            <color indexed="10"/>
            <rFont val="Tahoma"/>
            <family val="2"/>
          </rPr>
          <t>must</t>
        </r>
        <r>
          <rPr>
            <b/>
            <sz val="10"/>
            <color indexed="10"/>
            <rFont val="Tahoma"/>
            <family val="2"/>
          </rPr>
          <t xml:space="preserve"> be determined from a 500g SSD Sample !!</t>
        </r>
      </text>
    </comment>
  </commentList>
</comments>
</file>

<file path=xl/sharedStrings.xml><?xml version="1.0" encoding="utf-8"?>
<sst xmlns="http://schemas.openxmlformats.org/spreadsheetml/2006/main" count="671" uniqueCount="320">
  <si>
    <t>Project Number :</t>
  </si>
  <si>
    <t>Project Location :</t>
  </si>
  <si>
    <t>Date :</t>
  </si>
  <si>
    <t>Material Description</t>
  </si>
  <si>
    <t xml:space="preserve">Aggregate 1 = </t>
  </si>
  <si>
    <t xml:space="preserve">Aggregate 2 = </t>
  </si>
  <si>
    <t xml:space="preserve">Aggregate 3 = </t>
  </si>
  <si>
    <t xml:space="preserve">Aggregate 4 = </t>
  </si>
  <si>
    <t xml:space="preserve">Aggregate 5 = </t>
  </si>
  <si>
    <t xml:space="preserve">Aggregate 6 = </t>
  </si>
  <si>
    <t xml:space="preserve">Aggregate 7 = </t>
  </si>
  <si>
    <t xml:space="preserve">Aggregate 8 = </t>
  </si>
  <si>
    <t xml:space="preserve">Aggregate 9 = </t>
  </si>
  <si>
    <t xml:space="preserve">Aggregate10 = </t>
  </si>
  <si>
    <t>Enter Nominal Maximum Size of the Mixture</t>
  </si>
  <si>
    <t>mm</t>
  </si>
  <si>
    <t>Sieve Size</t>
  </si>
  <si>
    <t xml:space="preserve">US </t>
  </si>
  <si>
    <t>Agg.1</t>
  </si>
  <si>
    <t>Agg.2</t>
  </si>
  <si>
    <t>Agg.3</t>
  </si>
  <si>
    <t>Agg.4</t>
  </si>
  <si>
    <t>Agg.5</t>
  </si>
  <si>
    <t>Agg.6</t>
  </si>
  <si>
    <t>Agg.7</t>
  </si>
  <si>
    <t>Agg.8</t>
  </si>
  <si>
    <t>Agg.9</t>
  </si>
  <si>
    <t>Agg.10</t>
  </si>
  <si>
    <t>2"</t>
  </si>
  <si>
    <t>1 1/2"</t>
  </si>
  <si>
    <t>1"</t>
  </si>
  <si>
    <t>3/4"</t>
  </si>
  <si>
    <t>1/2"</t>
  </si>
  <si>
    <t>3/8"</t>
  </si>
  <si>
    <t>#4</t>
  </si>
  <si>
    <t>#8</t>
  </si>
  <si>
    <t>#16</t>
  </si>
  <si>
    <t>#30</t>
  </si>
  <si>
    <t>#50</t>
  </si>
  <si>
    <t>#100</t>
  </si>
  <si>
    <t>#200</t>
  </si>
  <si>
    <t>Composite</t>
  </si>
  <si>
    <t>Batch weight =</t>
  </si>
  <si>
    <t>grams</t>
  </si>
  <si>
    <t>Stockpile Percentage</t>
  </si>
  <si>
    <t>Agg.</t>
  </si>
  <si>
    <t xml:space="preserve">Pan    </t>
  </si>
  <si>
    <t xml:space="preserve">Totals    </t>
  </si>
  <si>
    <t>Asphalt Needed per batch</t>
  </si>
  <si>
    <t>Specimen #</t>
  </si>
  <si>
    <t>Enter Pb</t>
  </si>
  <si>
    <t>Mb needed</t>
  </si>
  <si>
    <t xml:space="preserve">Recommend </t>
  </si>
  <si>
    <t>4700 g for Gmb samples 150mm x 115mm</t>
  </si>
  <si>
    <t>1000 - 2500 g for Gmm samples ( See AASHTO T209 or ASTM D2041 for sample size)</t>
  </si>
  <si>
    <t>3700 g for Gmb samples 150 mm x 95 mm for AASHTO T283 Testing</t>
  </si>
  <si>
    <t xml:space="preserve">To Adjust Aggregate Weights for different heights </t>
  </si>
  <si>
    <t>Enter desired specimen height</t>
  </si>
  <si>
    <t>Enter actual sample height</t>
  </si>
  <si>
    <t>Enter original Aggr. Batch weight</t>
  </si>
  <si>
    <t>g</t>
  </si>
  <si>
    <t>Aggr. Batch weight needed to obtain desired height</t>
  </si>
  <si>
    <t>Sieve</t>
  </si>
  <si>
    <t>µm</t>
  </si>
  <si>
    <t xml:space="preserve">MDL </t>
  </si>
  <si>
    <t>Control Points</t>
  </si>
  <si>
    <t>x</t>
  </si>
  <si>
    <t>y</t>
  </si>
  <si>
    <t>min</t>
  </si>
  <si>
    <t>max</t>
  </si>
  <si>
    <t>Restricted Zone</t>
  </si>
  <si>
    <t xml:space="preserve"> 3/4</t>
  </si>
  <si>
    <t xml:space="preserve"> 1/2</t>
  </si>
  <si>
    <t xml:space="preserve"> 3/8</t>
  </si>
  <si>
    <t>Control Points Table</t>
  </si>
  <si>
    <t>37.5mm</t>
  </si>
  <si>
    <t>25.0mm</t>
  </si>
  <si>
    <t>19.0mm</t>
  </si>
  <si>
    <t>12.5mm</t>
  </si>
  <si>
    <t>9.5mm</t>
  </si>
  <si>
    <t>Restricted Zone Table</t>
  </si>
  <si>
    <t xml:space="preserve">DRY </t>
  </si>
  <si>
    <t xml:space="preserve">SUB </t>
  </si>
  <si>
    <t xml:space="preserve">SSD </t>
  </si>
  <si>
    <t xml:space="preserve"> NO.    </t>
  </si>
  <si>
    <t>WT.</t>
  </si>
  <si>
    <t>Gmb</t>
  </si>
  <si>
    <t>Ave.</t>
  </si>
  <si>
    <t>Sample</t>
  </si>
  <si>
    <t>in air</t>
  </si>
  <si>
    <t>Sample &amp;</t>
  </si>
  <si>
    <t>Bowl in</t>
  </si>
  <si>
    <t>Gmm</t>
  </si>
  <si>
    <t>Corr.</t>
  </si>
  <si>
    <t>Mixture Testing Weights</t>
  </si>
  <si>
    <t>Total Batch weight =</t>
  </si>
  <si>
    <t>% Bin Splits =&gt;</t>
  </si>
  <si>
    <t>Aggr.1 =</t>
  </si>
  <si>
    <t>Aggr.2 =</t>
  </si>
  <si>
    <t>Aggr.3 =</t>
  </si>
  <si>
    <t>Aggr.4 =</t>
  </si>
  <si>
    <t>Aggr.5 =</t>
  </si>
  <si>
    <t>Aggr.6 =</t>
  </si>
  <si>
    <t>Aggr.7 =</t>
  </si>
  <si>
    <t>Aggr.8 =</t>
  </si>
  <si>
    <t>Aggr.9 =</t>
  </si>
  <si>
    <t>Aggr.10 =</t>
  </si>
  <si>
    <t>Gsb Course Sample</t>
  </si>
  <si>
    <t>Dry Wt.</t>
  </si>
  <si>
    <t>Sub. Wt</t>
  </si>
  <si>
    <t>SSD Wt.</t>
  </si>
  <si>
    <t>Gsb</t>
  </si>
  <si>
    <t>Gsa</t>
  </si>
  <si>
    <t>Abs</t>
  </si>
  <si>
    <t>Spec. #</t>
  </si>
  <si>
    <t>Average</t>
  </si>
  <si>
    <t>Oven Dry</t>
  </si>
  <si>
    <t>Sp. In Air</t>
  </si>
  <si>
    <t>Flask</t>
  </si>
  <si>
    <t>FL+H20</t>
  </si>
  <si>
    <t>+ Spec.</t>
  </si>
  <si>
    <t>Reading #1</t>
  </si>
  <si>
    <t>Reading #2</t>
  </si>
  <si>
    <t>Reading #3</t>
  </si>
  <si>
    <t>Flat and Elongated Particles</t>
  </si>
  <si>
    <t>Dry wt. of elongated particles</t>
  </si>
  <si>
    <r>
      <t>+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0</t>
    </r>
  </si>
  <si>
    <t>Total weight of dry sample</t>
  </si>
  <si>
    <t>% of Elong. Particles</t>
  </si>
  <si>
    <t>CAA Test</t>
  </si>
  <si>
    <t>Weight of 1- Frac Face sample</t>
  </si>
  <si>
    <t>Weight of 2- Frac Face sample</t>
  </si>
  <si>
    <t>Total dry weight of sample</t>
  </si>
  <si>
    <t>percent 2 or more FF</t>
  </si>
  <si>
    <t>percent 1 or more FF</t>
  </si>
  <si>
    <t>FAA Test</t>
  </si>
  <si>
    <t>Gsb of fine aggregate</t>
  </si>
  <si>
    <t>Percent uncompacted voids</t>
  </si>
  <si>
    <t>Spec. 1</t>
  </si>
  <si>
    <t>Spec. 2</t>
  </si>
  <si>
    <t>Sand Equiv. Test</t>
  </si>
  <si>
    <t>Sand Rdg.</t>
  </si>
  <si>
    <t>Clay Rdg.</t>
  </si>
  <si>
    <t>S.E.</t>
  </si>
  <si>
    <t>1A</t>
  </si>
  <si>
    <t>1B</t>
  </si>
  <si>
    <t>2A</t>
  </si>
  <si>
    <t>2B</t>
  </si>
  <si>
    <t>3A</t>
  </si>
  <si>
    <t>4A</t>
  </si>
  <si>
    <t>4B</t>
  </si>
  <si>
    <t>5A</t>
  </si>
  <si>
    <t>5B</t>
  </si>
  <si>
    <t>3B</t>
  </si>
  <si>
    <r>
      <t>G</t>
    </r>
    <r>
      <rPr>
        <vertAlign val="subscript"/>
        <sz val="16"/>
        <rFont val="Times New Roman"/>
        <family val="1"/>
      </rPr>
      <t xml:space="preserve">mm </t>
    </r>
    <r>
      <rPr>
        <sz val="16"/>
        <rFont val="Times New Roman"/>
        <family val="1"/>
      </rPr>
      <t xml:space="preserve">@ </t>
    </r>
  </si>
  <si>
    <t>Apshalt Binder</t>
  </si>
  <si>
    <t>Specimen</t>
  </si>
  <si>
    <t>No.</t>
  </si>
  <si>
    <t>Calculate Gse</t>
  </si>
  <si>
    <t>Pb</t>
  </si>
  <si>
    <t>Gb</t>
  </si>
  <si>
    <t>H20</t>
  </si>
  <si>
    <t>in H20</t>
  </si>
  <si>
    <t>Combined Gsb =</t>
  </si>
  <si>
    <t>Gsb Fine Sample</t>
  </si>
  <si>
    <t>Calculate Pba</t>
  </si>
  <si>
    <t>Va</t>
  </si>
  <si>
    <t>VMA</t>
  </si>
  <si>
    <t>VFA</t>
  </si>
  <si>
    <t>DP</t>
  </si>
  <si>
    <t>Pbe</t>
  </si>
  <si>
    <t>SPEC.</t>
  </si>
  <si>
    <t>Data Entry</t>
  </si>
  <si>
    <t>Volumetric Data</t>
  </si>
  <si>
    <t>A</t>
  </si>
  <si>
    <t>B</t>
  </si>
  <si>
    <t>Diameter</t>
  </si>
  <si>
    <t>D</t>
  </si>
  <si>
    <t>Thickness</t>
  </si>
  <si>
    <t>t</t>
  </si>
  <si>
    <t>Dry mass in air</t>
  </si>
  <si>
    <t xml:space="preserve">SSD mass </t>
  </si>
  <si>
    <t xml:space="preserve">Mass in Water </t>
  </si>
  <si>
    <t>C</t>
  </si>
  <si>
    <t xml:space="preserve">Volume </t>
  </si>
  <si>
    <t>(B-C)</t>
  </si>
  <si>
    <t>E</t>
  </si>
  <si>
    <t>Bulk Sp Gravity  (A/E)</t>
  </si>
  <si>
    <t>F</t>
  </si>
  <si>
    <t>Max Sp Gravity</t>
  </si>
  <si>
    <t>G</t>
  </si>
  <si>
    <t>% Air Voids (100(G-F)/G)</t>
  </si>
  <si>
    <t>H</t>
  </si>
  <si>
    <t>Vol Air Voids  (HE/100)</t>
  </si>
  <si>
    <t>I</t>
  </si>
  <si>
    <t>P</t>
  </si>
  <si>
    <t>SSD Mass</t>
  </si>
  <si>
    <t>B'</t>
  </si>
  <si>
    <t>Mass in Water</t>
  </si>
  <si>
    <t>C'</t>
  </si>
  <si>
    <t>Volume  (B'-C')</t>
  </si>
  <si>
    <t>E'</t>
  </si>
  <si>
    <t>Vol Abs Water  (B'-A)</t>
  </si>
  <si>
    <t>J'</t>
  </si>
  <si>
    <t>% Saturation  (100J'/I)</t>
  </si>
  <si>
    <t>% Swell  (100(E'-E)/E)</t>
  </si>
  <si>
    <t>t"</t>
  </si>
  <si>
    <t>SSD mass</t>
  </si>
  <si>
    <t>B"</t>
  </si>
  <si>
    <t>C"</t>
  </si>
  <si>
    <t>Volume  (B"-C")</t>
  </si>
  <si>
    <t>E"</t>
  </si>
  <si>
    <t>Vol Abs Water  (B"-A)</t>
  </si>
  <si>
    <t>J"</t>
  </si>
  <si>
    <t>% Saturation  (100J"/I)</t>
  </si>
  <si>
    <t>% Swell  (100(E"-E)/E)</t>
  </si>
  <si>
    <t>P"</t>
  </si>
  <si>
    <t>Dry Strength  2P/(tDPi)</t>
  </si>
  <si>
    <t>Std</t>
  </si>
  <si>
    <t>Wet Strength  2P"/(t"DPi)</t>
  </si>
  <si>
    <t>Stm</t>
  </si>
  <si>
    <t>Moisture Sensitivity AASHTO T-283</t>
  </si>
  <si>
    <t>Conditioned Subset</t>
  </si>
  <si>
    <t>Unconditioned Subset</t>
  </si>
  <si>
    <t>Original Volumetrics</t>
  </si>
  <si>
    <t>SSD Volumetrics</t>
  </si>
  <si>
    <t>SSD Conditioned</t>
  </si>
  <si>
    <t xml:space="preserve">Load - N </t>
  </si>
  <si>
    <t>Calculated Strengths</t>
  </si>
  <si>
    <t>Tensile Strength Ratio</t>
  </si>
  <si>
    <t>Average Dry Strength (kPa)</t>
  </si>
  <si>
    <t>Average Wet Strength (kPa)</t>
  </si>
  <si>
    <t>% TSR</t>
  </si>
  <si>
    <t>Grouping Wet Vs Dry Subsets</t>
  </si>
  <si>
    <t>Change the sample numbers to min. Ave. Diff</t>
  </si>
  <si>
    <t>Vol of Air Voids</t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</si>
  <si>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sz val="12"/>
        <rFont val="Times New Roman"/>
        <family val="0"/>
      </rPr>
      <t xml:space="preserve"> Wt. Gain needed to achieve 70% Saturation</t>
    </r>
  </si>
  <si>
    <t>Saturated specimen wt at 70% Saturation</t>
  </si>
  <si>
    <t>Degree of Saturation</t>
  </si>
  <si>
    <t>HELPFUL HINTS SECTION</t>
  </si>
  <si>
    <t>Enter Aggregate Material Data in this Table</t>
  </si>
  <si>
    <r>
      <t>Bowl in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</si>
  <si>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Cost</t>
  </si>
  <si>
    <t>Asphalt Binder Price</t>
  </si>
  <si>
    <t>Aggregate Cost</t>
  </si>
  <si>
    <t>1C</t>
  </si>
  <si>
    <t>2C</t>
  </si>
  <si>
    <t>3C</t>
  </si>
  <si>
    <t>4C</t>
  </si>
  <si>
    <t>5C</t>
  </si>
  <si>
    <t>Stab</t>
  </si>
  <si>
    <t>Flow</t>
  </si>
  <si>
    <t>Stab.</t>
  </si>
  <si>
    <t>Vol.</t>
  </si>
  <si>
    <t>Factor</t>
  </si>
  <si>
    <t>Specifications</t>
  </si>
  <si>
    <t>Min.</t>
  </si>
  <si>
    <t>Max.</t>
  </si>
  <si>
    <t>Combined Gsa =</t>
  </si>
  <si>
    <t>Comb. H2O Abs. =</t>
  </si>
  <si>
    <t>Wt. of cylinder                      (g)</t>
  </si>
  <si>
    <t>Wt. of cylinder + Sample      (g)</t>
  </si>
  <si>
    <t>Lab Recording Sheet</t>
  </si>
  <si>
    <t>Blended Gsb Coarse Sample Batch Weights</t>
  </si>
  <si>
    <t>Blended Gsb Fine Sample Batch Weights</t>
  </si>
  <si>
    <t>Blended CAA Sample Test Weights</t>
  </si>
  <si>
    <t>Blended S.E. Sample Test Weights</t>
  </si>
  <si>
    <t>Blended Flat and Elongated Sample Test Weights</t>
  </si>
  <si>
    <r>
      <t>Volume of cylinder          (cm</t>
    </r>
    <r>
      <rPr>
        <vertAlign val="superscript"/>
        <sz val="15"/>
        <rFont val="Times New Roman"/>
        <family val="1"/>
      </rPr>
      <t>3</t>
    </r>
    <r>
      <rPr>
        <sz val="15"/>
        <rFont val="Times New Roman"/>
        <family val="1"/>
      </rPr>
      <t>)</t>
    </r>
  </si>
  <si>
    <r>
      <t>Volume of cylinder         (cm</t>
    </r>
    <r>
      <rPr>
        <vertAlign val="superscript"/>
        <sz val="16"/>
        <rFont val="Times New Roman"/>
        <family val="1"/>
      </rPr>
      <t>3</t>
    </r>
    <r>
      <rPr>
        <sz val="16"/>
        <rFont val="Times New Roman"/>
        <family val="1"/>
      </rPr>
      <t>)</t>
    </r>
  </si>
  <si>
    <t>Wt. of cylinder                  (g)</t>
  </si>
  <si>
    <t>Wt. of cylinder + Sample  (g)</t>
  </si>
  <si>
    <t>Ave. % Uncompacted Voids</t>
  </si>
  <si>
    <t xml:space="preserve">ac % </t>
  </si>
  <si>
    <t>AV</t>
  </si>
  <si>
    <t>%AC w/ AV below TVAV</t>
  </si>
  <si>
    <t>%AC w/ AVabove TVAV</t>
  </si>
  <si>
    <t>Trial ac interval =</t>
  </si>
  <si>
    <t>AV %</t>
  </si>
  <si>
    <t>Design Binder % =</t>
  </si>
  <si>
    <t xml:space="preserve">Spec Table </t>
  </si>
  <si>
    <t>vfa</t>
  </si>
  <si>
    <t xml:space="preserve">max </t>
  </si>
  <si>
    <t>size</t>
  </si>
  <si>
    <t>(3.0 min. - 5.0 max.)</t>
  </si>
  <si>
    <t>Min. Rec. VMA =</t>
  </si>
  <si>
    <t>Array Row =</t>
  </si>
  <si>
    <t>Array Cloumn =</t>
  </si>
  <si>
    <t>Enter  # of blows</t>
  </si>
  <si>
    <t>Min VFA</t>
  </si>
  <si>
    <t>Max VFA</t>
  </si>
  <si>
    <t>blow count</t>
  </si>
  <si>
    <t>Min Stability</t>
  </si>
  <si>
    <t>lbs.</t>
  </si>
  <si>
    <t>N</t>
  </si>
  <si>
    <t>Stability</t>
  </si>
  <si>
    <t>lbs</t>
  </si>
  <si>
    <t>Min Flow</t>
  </si>
  <si>
    <t>Max Flow</t>
  </si>
  <si>
    <t>Min DP</t>
  </si>
  <si>
    <t>Max DP</t>
  </si>
  <si>
    <t>.01 in.</t>
  </si>
  <si>
    <t>MS-2</t>
  </si>
  <si>
    <t>Mixture Price =</t>
  </si>
  <si>
    <t>Design Air Voids</t>
  </si>
  <si>
    <t>Enter Estimated Binder %</t>
  </si>
  <si>
    <t>Estimated Mix Cost</t>
  </si>
  <si>
    <t>Gsb Coarse Sample</t>
  </si>
  <si>
    <t>Blended FAA Sample Test Weights - METHOD A</t>
  </si>
  <si>
    <t>Diseño MAC Rodadura Calles del Sur</t>
  </si>
  <si>
    <t>Planta TIBURCIO</t>
  </si>
  <si>
    <t>Marzo 2008</t>
  </si>
  <si>
    <t>Grava 1/2 Mina Tiburcio</t>
  </si>
  <si>
    <t>Gravilla 3/8 Marquez</t>
  </si>
  <si>
    <t>Arena EPSA</t>
  </si>
  <si>
    <t>Combinada Teorica</t>
  </si>
  <si>
    <t>Combinada Practica I</t>
  </si>
  <si>
    <t>Combinada Practica II</t>
  </si>
  <si>
    <t>Combinada Practica III</t>
  </si>
  <si>
    <t>Arena Caliza XX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</si>
</sst>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"/>
    <numFmt numFmtId="180" formatCode="0.0%"/>
    <numFmt numFmtId="181" formatCode="0.0000"/>
    <numFmt numFmtId="182" formatCode="0.00000"/>
    <numFmt numFmtId="183" formatCode="0.0000000"/>
    <numFmt numFmtId="184" formatCode="0.000000"/>
    <numFmt numFmtId="185" formatCode="0.0_)"/>
    <numFmt numFmtId="186" formatCode="0.000_)"/>
    <numFmt numFmtId="187" formatCode="0.00_)"/>
    <numFmt numFmtId="188" formatCode="0.0000_)"/>
    <numFmt numFmtId="189" formatCode="0.00000_)"/>
    <numFmt numFmtId="190" formatCode="[$-409]dddd\,\ mmmm\ dd\,\ yyyy"/>
    <numFmt numFmtId="191" formatCode="0.0000000000000000%"/>
    <numFmt numFmtId="192" formatCode="0.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.0000%"/>
    <numFmt numFmtId="204" formatCode="0.000%"/>
  </numFmts>
  <fonts count="50">
    <font>
      <sz val="12"/>
      <name val="Times New Roman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Tms Rmn"/>
      <family val="0"/>
    </font>
    <font>
      <b/>
      <sz val="20"/>
      <name val="Tms Rmn"/>
      <family val="0"/>
    </font>
    <font>
      <b/>
      <sz val="16"/>
      <name val="Tms Rmn"/>
      <family val="0"/>
    </font>
    <font>
      <sz val="8"/>
      <name val="Tahoma"/>
      <family val="0"/>
    </font>
    <font>
      <b/>
      <sz val="11"/>
      <name val="Tms Rmn"/>
      <family val="0"/>
    </font>
    <font>
      <b/>
      <u val="single"/>
      <sz val="11"/>
      <name val="Tms Rmn"/>
      <family val="0"/>
    </font>
    <font>
      <b/>
      <sz val="16"/>
      <name val="Times New Roman"/>
      <family val="1"/>
    </font>
    <font>
      <b/>
      <u val="single"/>
      <sz val="16"/>
      <name val="Tms Rmn"/>
      <family val="0"/>
    </font>
    <font>
      <b/>
      <sz val="15"/>
      <name val="Times New Roman"/>
      <family val="1"/>
    </font>
    <font>
      <b/>
      <sz val="15"/>
      <name val="Tms Rmn"/>
      <family val="0"/>
    </font>
    <font>
      <vertAlign val="subscript"/>
      <sz val="16"/>
      <name val="Times New Roman"/>
      <family val="1"/>
    </font>
    <font>
      <b/>
      <sz val="10"/>
      <color indexed="10"/>
      <name val="Tahoma"/>
      <family val="2"/>
    </font>
    <font>
      <b/>
      <u val="single"/>
      <sz val="10"/>
      <color indexed="10"/>
      <name val="Tahoma"/>
      <family val="2"/>
    </font>
    <font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8.4"/>
      <color indexed="36"/>
      <name val="Times New Roman"/>
      <family val="0"/>
    </font>
    <font>
      <b/>
      <sz val="10.5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8"/>
      <name val="Arial"/>
      <family val="2"/>
    </font>
    <font>
      <sz val="36"/>
      <name val="Times New Roman"/>
      <family val="0"/>
    </font>
    <font>
      <sz val="25"/>
      <name val="Times New Roman"/>
      <family val="0"/>
    </font>
    <font>
      <b/>
      <sz val="12"/>
      <color indexed="10"/>
      <name val="Tahoma"/>
      <family val="2"/>
    </font>
    <font>
      <b/>
      <sz val="10.5"/>
      <color indexed="8"/>
      <name val="Times New Roman"/>
      <family val="1"/>
    </font>
    <font>
      <vertAlign val="superscript"/>
      <sz val="16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8"/>
      <name val="Times New Roman"/>
      <family val="0"/>
    </font>
    <font>
      <b/>
      <sz val="14"/>
      <color indexed="10"/>
      <name val="Tahoma"/>
      <family val="2"/>
    </font>
    <font>
      <sz val="14"/>
      <name val="Times New Roman"/>
      <family val="1"/>
    </font>
    <font>
      <b/>
      <sz val="22"/>
      <name val="Tms Rmn"/>
      <family val="0"/>
    </font>
    <font>
      <i/>
      <sz val="10"/>
      <name val="Arial"/>
      <family val="2"/>
    </font>
    <font>
      <i/>
      <sz val="26"/>
      <color indexed="8"/>
      <name val="Impact"/>
      <family val="2"/>
    </font>
    <font>
      <b/>
      <sz val="16"/>
      <name val="Arial"/>
      <family val="2"/>
    </font>
    <font>
      <i/>
      <sz val="20"/>
      <name val="Impact"/>
      <family val="2"/>
    </font>
    <font>
      <b/>
      <i/>
      <sz val="11"/>
      <color indexed="8"/>
      <name val="Arial"/>
      <family val="2"/>
    </font>
    <font>
      <vertAlign val="superscript"/>
      <sz val="15"/>
      <name val="Times New Roman"/>
      <family val="1"/>
    </font>
    <font>
      <i/>
      <sz val="4"/>
      <color indexed="8"/>
      <name val="Arial"/>
      <family val="0"/>
    </font>
    <font>
      <i/>
      <sz val="12"/>
      <name val="Times New Roman"/>
      <family val="1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5" fillId="0" borderId="0" xfId="0" applyFont="1" applyFill="1" applyAlignment="1">
      <alignment horizontal="right"/>
    </xf>
    <xf numFmtId="0" fontId="6" fillId="0" borderId="0" xfId="2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1" xfId="21" applyBorder="1" applyAlignment="1" applyProtection="1">
      <alignment horizontal="center"/>
      <protection/>
    </xf>
    <xf numFmtId="0" fontId="1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85" fontId="1" fillId="2" borderId="1" xfId="0" applyNumberFormat="1" applyFont="1" applyFill="1" applyBorder="1" applyAlignment="1" applyProtection="1">
      <alignment horizontal="center"/>
      <protection locked="0"/>
    </xf>
    <xf numFmtId="180" fontId="1" fillId="0" borderId="0" xfId="22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185" fontId="1" fillId="0" borderId="0" xfId="0" applyNumberFormat="1" applyFont="1" applyBorder="1" applyAlignment="1" applyProtection="1">
      <alignment horizontal="center"/>
      <protection/>
    </xf>
    <xf numFmtId="10" fontId="1" fillId="2" borderId="10" xfId="22" applyNumberFormat="1" applyFont="1" applyFill="1" applyBorder="1" applyAlignment="1" applyProtection="1">
      <alignment/>
      <protection locked="0"/>
    </xf>
    <xf numFmtId="178" fontId="1" fillId="2" borderId="2" xfId="0" applyNumberFormat="1" applyFont="1" applyFill="1" applyBorder="1" applyAlignment="1" applyProtection="1">
      <alignment horizontal="center"/>
      <protection locked="0"/>
    </xf>
    <xf numFmtId="178" fontId="1" fillId="2" borderId="3" xfId="0" applyNumberFormat="1" applyFont="1" applyFill="1" applyBorder="1" applyAlignment="1" applyProtection="1">
      <alignment horizontal="center"/>
      <protection locked="0"/>
    </xf>
    <xf numFmtId="178" fontId="1" fillId="2" borderId="16" xfId="0" applyNumberFormat="1" applyFont="1" applyFill="1" applyBorder="1" applyAlignment="1" applyProtection="1">
      <alignment horizontal="center"/>
      <protection locked="0"/>
    </xf>
    <xf numFmtId="178" fontId="1" fillId="2" borderId="5" xfId="0" applyNumberFormat="1" applyFont="1" applyFill="1" applyBorder="1" applyAlignment="1" applyProtection="1">
      <alignment horizontal="center"/>
      <protection locked="0"/>
    </xf>
    <xf numFmtId="178" fontId="1" fillId="2" borderId="6" xfId="0" applyNumberFormat="1" applyFont="1" applyFill="1" applyBorder="1" applyAlignment="1" applyProtection="1">
      <alignment horizontal="center"/>
      <protection locked="0"/>
    </xf>
    <xf numFmtId="178" fontId="1" fillId="2" borderId="17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1" fillId="3" borderId="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44" fontId="15" fillId="2" borderId="9" xfId="17" applyFont="1" applyFill="1" applyBorder="1" applyAlignment="1" applyProtection="1">
      <alignment horizontal="center"/>
      <protection locked="0"/>
    </xf>
    <xf numFmtId="44" fontId="15" fillId="2" borderId="11" xfId="17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 horizontal="center"/>
    </xf>
    <xf numFmtId="178" fontId="1" fillId="2" borderId="23" xfId="0" applyNumberFormat="1" applyFont="1" applyFill="1" applyBorder="1" applyAlignment="1" applyProtection="1">
      <alignment horizontal="center"/>
      <protection locked="0"/>
    </xf>
    <xf numFmtId="178" fontId="1" fillId="2" borderId="24" xfId="0" applyNumberFormat="1" applyFont="1" applyFill="1" applyBorder="1" applyAlignment="1" applyProtection="1">
      <alignment horizontal="center"/>
      <protection locked="0"/>
    </xf>
    <xf numFmtId="178" fontId="1" fillId="2" borderId="25" xfId="0" applyNumberFormat="1" applyFont="1" applyFill="1" applyBorder="1" applyAlignment="1" applyProtection="1">
      <alignment horizontal="center"/>
      <protection locked="0"/>
    </xf>
    <xf numFmtId="178" fontId="1" fillId="2" borderId="26" xfId="0" applyNumberFormat="1" applyFont="1" applyFill="1" applyBorder="1" applyAlignment="1" applyProtection="1">
      <alignment horizontal="center"/>
      <protection locked="0"/>
    </xf>
    <xf numFmtId="178" fontId="1" fillId="2" borderId="27" xfId="0" applyNumberFormat="1" applyFont="1" applyFill="1" applyBorder="1" applyAlignment="1" applyProtection="1">
      <alignment horizontal="center"/>
      <protection locked="0"/>
    </xf>
    <xf numFmtId="178" fontId="1" fillId="2" borderId="28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2" borderId="9" xfId="0" applyFont="1" applyFill="1" applyBorder="1" applyAlignment="1" applyProtection="1">
      <alignment horizontal="center"/>
      <protection locked="0"/>
    </xf>
    <xf numFmtId="0" fontId="35" fillId="3" borderId="8" xfId="0" applyFont="1" applyFill="1" applyBorder="1" applyAlignment="1">
      <alignment/>
    </xf>
    <xf numFmtId="0" fontId="35" fillId="3" borderId="30" xfId="0" applyFont="1" applyFill="1" applyBorder="1" applyAlignment="1">
      <alignment/>
    </xf>
    <xf numFmtId="0" fontId="35" fillId="3" borderId="29" xfId="0" applyFont="1" applyFill="1" applyBorder="1" applyAlignment="1">
      <alignment/>
    </xf>
    <xf numFmtId="0" fontId="35" fillId="0" borderId="7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0" xfId="0" applyFont="1" applyFill="1" applyBorder="1" applyAlignment="1">
      <alignment horizontal="right"/>
    </xf>
    <xf numFmtId="0" fontId="35" fillId="0" borderId="8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9" xfId="0" applyFont="1" applyFill="1" applyBorder="1" applyAlignment="1">
      <alignment horizontal="right"/>
    </xf>
    <xf numFmtId="178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178" fontId="1" fillId="2" borderId="31" xfId="0" applyNumberFormat="1" applyFont="1" applyFill="1" applyBorder="1" applyAlignment="1" applyProtection="1">
      <alignment horizontal="center"/>
      <protection locked="0"/>
    </xf>
    <xf numFmtId="178" fontId="1" fillId="2" borderId="9" xfId="0" applyNumberFormat="1" applyFont="1" applyFill="1" applyBorder="1" applyAlignment="1" applyProtection="1">
      <alignment horizontal="center"/>
      <protection locked="0"/>
    </xf>
    <xf numFmtId="0" fontId="39" fillId="0" borderId="9" xfId="0" applyFont="1" applyBorder="1" applyAlignment="1">
      <alignment horizontal="center"/>
    </xf>
    <xf numFmtId="178" fontId="1" fillId="2" borderId="32" xfId="0" applyNumberFormat="1" applyFont="1" applyFill="1" applyBorder="1" applyAlignment="1" applyProtection="1">
      <alignment horizontal="center"/>
      <protection locked="0"/>
    </xf>
    <xf numFmtId="185" fontId="1" fillId="2" borderId="3" xfId="0" applyNumberFormat="1" applyFont="1" applyFill="1" applyBorder="1" applyAlignment="1" applyProtection="1">
      <alignment horizontal="center"/>
      <protection locked="0"/>
    </xf>
    <xf numFmtId="185" fontId="1" fillId="2" borderId="16" xfId="0" applyNumberFormat="1" applyFont="1" applyFill="1" applyBorder="1" applyAlignment="1" applyProtection="1">
      <alignment horizontal="center"/>
      <protection locked="0"/>
    </xf>
    <xf numFmtId="185" fontId="1" fillId="2" borderId="32" xfId="0" applyNumberFormat="1" applyFont="1" applyFill="1" applyBorder="1" applyAlignment="1" applyProtection="1">
      <alignment horizontal="center"/>
      <protection locked="0"/>
    </xf>
    <xf numFmtId="185" fontId="1" fillId="2" borderId="6" xfId="0" applyNumberFormat="1" applyFont="1" applyFill="1" applyBorder="1" applyAlignment="1" applyProtection="1">
      <alignment horizontal="center"/>
      <protection locked="0"/>
    </xf>
    <xf numFmtId="185" fontId="1" fillId="2" borderId="17" xfId="0" applyNumberFormat="1" applyFont="1" applyFill="1" applyBorder="1" applyAlignment="1" applyProtection="1">
      <alignment horizontal="center"/>
      <protection locked="0"/>
    </xf>
    <xf numFmtId="185" fontId="1" fillId="0" borderId="33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6" fillId="0" borderId="34" xfId="21" applyBorder="1" applyProtection="1">
      <alignment/>
      <protection/>
    </xf>
    <xf numFmtId="0" fontId="1" fillId="3" borderId="19" xfId="0" applyFont="1" applyFill="1" applyBorder="1" applyAlignment="1">
      <alignment/>
    </xf>
    <xf numFmtId="0" fontId="35" fillId="0" borderId="2" xfId="0" applyFont="1" applyBorder="1" applyAlignment="1">
      <alignment/>
    </xf>
    <xf numFmtId="0" fontId="35" fillId="0" borderId="3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4" xfId="0" applyFont="1" applyBorder="1" applyAlignment="1">
      <alignment/>
    </xf>
    <xf numFmtId="0" fontId="35" fillId="0" borderId="1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5" xfId="0" applyFont="1" applyBorder="1" applyAlignment="1">
      <alignment/>
    </xf>
    <xf numFmtId="0" fontId="35" fillId="0" borderId="6" xfId="0" applyFont="1" applyBorder="1" applyAlignment="1">
      <alignment/>
    </xf>
    <xf numFmtId="0" fontId="35" fillId="0" borderId="17" xfId="0" applyFont="1" applyBorder="1" applyAlignment="1">
      <alignment/>
    </xf>
    <xf numFmtId="180" fontId="1" fillId="0" borderId="35" xfId="22" applyNumberFormat="1" applyFont="1" applyBorder="1" applyAlignment="1" applyProtection="1">
      <alignment horizontal="center"/>
      <protection/>
    </xf>
    <xf numFmtId="180" fontId="1" fillId="0" borderId="36" xfId="22" applyNumberFormat="1" applyFont="1" applyBorder="1" applyAlignment="1" applyProtection="1">
      <alignment horizontal="center"/>
      <protection/>
    </xf>
    <xf numFmtId="180" fontId="1" fillId="0" borderId="37" xfId="22" applyNumberFormat="1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180" fontId="1" fillId="0" borderId="38" xfId="22" applyNumberFormat="1" applyFont="1" applyBorder="1" applyAlignment="1" applyProtection="1">
      <alignment horizontal="center"/>
      <protection/>
    </xf>
    <xf numFmtId="0" fontId="6" fillId="0" borderId="0" xfId="21" applyFont="1" applyProtection="1">
      <alignment/>
      <protection/>
    </xf>
    <xf numFmtId="0" fontId="6" fillId="0" borderId="39" xfId="21" applyBorder="1" applyAlignment="1" applyProtection="1">
      <alignment horizontal="center"/>
      <protection/>
    </xf>
    <xf numFmtId="0" fontId="6" fillId="0" borderId="40" xfId="21" applyBorder="1" applyAlignment="1" applyProtection="1">
      <alignment horizontal="center"/>
      <protection/>
    </xf>
    <xf numFmtId="0" fontId="6" fillId="0" borderId="41" xfId="21" applyBorder="1" applyAlignment="1" applyProtection="1">
      <alignment horizontal="center"/>
      <protection/>
    </xf>
    <xf numFmtId="0" fontId="6" fillId="0" borderId="42" xfId="21" applyBorder="1" applyAlignment="1" applyProtection="1">
      <alignment horizontal="center"/>
      <protection/>
    </xf>
    <xf numFmtId="0" fontId="6" fillId="0" borderId="43" xfId="21" applyBorder="1" applyAlignment="1" applyProtection="1">
      <alignment horizontal="center"/>
      <protection/>
    </xf>
    <xf numFmtId="0" fontId="6" fillId="0" borderId="4" xfId="21" applyBorder="1" applyAlignment="1" applyProtection="1">
      <alignment horizontal="center"/>
      <protection/>
    </xf>
    <xf numFmtId="0" fontId="6" fillId="0" borderId="32" xfId="21" applyBorder="1" applyAlignment="1" applyProtection="1">
      <alignment horizontal="center"/>
      <protection/>
    </xf>
    <xf numFmtId="0" fontId="6" fillId="0" borderId="14" xfId="21" applyBorder="1" applyAlignment="1" applyProtection="1">
      <alignment horizontal="center"/>
      <protection/>
    </xf>
    <xf numFmtId="0" fontId="6" fillId="0" borderId="5" xfId="21" applyBorder="1" applyAlignment="1" applyProtection="1">
      <alignment horizontal="center"/>
      <protection/>
    </xf>
    <xf numFmtId="0" fontId="6" fillId="0" borderId="6" xfId="21" applyBorder="1" applyAlignment="1" applyProtection="1">
      <alignment horizontal="center"/>
      <protection/>
    </xf>
    <xf numFmtId="0" fontId="6" fillId="0" borderId="17" xfId="21" applyBorder="1" applyAlignment="1" applyProtection="1">
      <alignment horizontal="center"/>
      <protection/>
    </xf>
    <xf numFmtId="0" fontId="6" fillId="0" borderId="9" xfId="21" applyFont="1" applyBorder="1" applyAlignment="1" applyProtection="1">
      <alignment horizontal="center"/>
      <protection/>
    </xf>
    <xf numFmtId="0" fontId="6" fillId="0" borderId="30" xfId="21" applyBorder="1" applyAlignment="1" applyProtection="1">
      <alignment horizontal="center"/>
      <protection/>
    </xf>
    <xf numFmtId="0" fontId="6" fillId="0" borderId="29" xfId="21" applyBorder="1" applyAlignment="1" applyProtection="1">
      <alignment horizontal="center"/>
      <protection/>
    </xf>
    <xf numFmtId="0" fontId="6" fillId="0" borderId="9" xfId="21" applyBorder="1" applyAlignment="1" applyProtection="1">
      <alignment horizontal="center"/>
      <protection/>
    </xf>
    <xf numFmtId="0" fontId="6" fillId="0" borderId="44" xfId="21" applyBorder="1" applyAlignment="1" applyProtection="1">
      <alignment horizontal="center"/>
      <protection/>
    </xf>
    <xf numFmtId="0" fontId="6" fillId="0" borderId="45" xfId="21" applyBorder="1" applyAlignment="1" applyProtection="1">
      <alignment horizontal="center"/>
      <protection/>
    </xf>
    <xf numFmtId="0" fontId="6" fillId="0" borderId="3" xfId="21" applyBorder="1" applyAlignment="1" applyProtection="1">
      <alignment horizontal="center"/>
      <protection/>
    </xf>
    <xf numFmtId="0" fontId="6" fillId="0" borderId="16" xfId="21" applyBorder="1" applyAlignment="1" applyProtection="1">
      <alignment horizontal="center"/>
      <protection/>
    </xf>
    <xf numFmtId="0" fontId="6" fillId="0" borderId="0" xfId="21" applyBorder="1" applyAlignment="1" applyProtection="1">
      <alignment horizontal="center"/>
      <protection/>
    </xf>
    <xf numFmtId="0" fontId="6" fillId="0" borderId="35" xfId="21" applyBorder="1" applyAlignment="1" applyProtection="1">
      <alignment horizontal="center"/>
      <protection/>
    </xf>
    <xf numFmtId="0" fontId="6" fillId="0" borderId="38" xfId="21" applyBorder="1" applyAlignment="1" applyProtection="1">
      <alignment horizontal="center"/>
      <protection/>
    </xf>
    <xf numFmtId="0" fontId="6" fillId="0" borderId="37" xfId="21" applyBorder="1" applyAlignment="1" applyProtection="1">
      <alignment horizontal="center"/>
      <protection/>
    </xf>
    <xf numFmtId="0" fontId="6" fillId="0" borderId="46" xfId="21" applyBorder="1" applyAlignment="1" applyProtection="1">
      <alignment horizontal="center"/>
      <protection/>
    </xf>
    <xf numFmtId="0" fontId="6" fillId="0" borderId="10" xfId="21" applyFont="1" applyBorder="1" applyAlignment="1" applyProtection="1">
      <alignment horizontal="center"/>
      <protection/>
    </xf>
    <xf numFmtId="180" fontId="6" fillId="0" borderId="23" xfId="22" applyNumberFormat="1" applyBorder="1" applyAlignment="1" applyProtection="1">
      <alignment horizontal="center"/>
      <protection/>
    </xf>
    <xf numFmtId="180" fontId="6" fillId="0" borderId="24" xfId="22" applyNumberFormat="1" applyFont="1" applyBorder="1" applyAlignment="1" applyProtection="1">
      <alignment horizontal="center"/>
      <protection/>
    </xf>
    <xf numFmtId="180" fontId="6" fillId="0" borderId="24" xfId="22" applyNumberFormat="1" applyBorder="1" applyAlignment="1" applyProtection="1">
      <alignment horizontal="center"/>
      <protection/>
    </xf>
    <xf numFmtId="180" fontId="6" fillId="0" borderId="25" xfId="22" applyNumberFormat="1" applyBorder="1" applyAlignment="1" applyProtection="1">
      <alignment horizontal="center"/>
      <protection/>
    </xf>
    <xf numFmtId="0" fontId="6" fillId="0" borderId="0" xfId="2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9" fillId="2" borderId="23" xfId="21" applyNumberFormat="1" applyFont="1" applyFill="1" applyBorder="1" applyAlignment="1" applyProtection="1" quotePrefix="1">
      <alignment horizontal="center"/>
      <protection hidden="1" locked="0"/>
    </xf>
    <xf numFmtId="1" fontId="9" fillId="2" borderId="24" xfId="21" applyNumberFormat="1" applyFont="1" applyFill="1" applyBorder="1" applyAlignment="1" applyProtection="1" quotePrefix="1">
      <alignment horizontal="center"/>
      <protection hidden="1" locked="0"/>
    </xf>
    <xf numFmtId="178" fontId="9" fillId="2" borderId="25" xfId="21" applyNumberFormat="1" applyFont="1" applyFill="1" applyBorder="1" applyAlignment="1" applyProtection="1" quotePrefix="1">
      <alignment horizontal="center"/>
      <protection hidden="1" locked="0"/>
    </xf>
    <xf numFmtId="178" fontId="9" fillId="0" borderId="24" xfId="21" applyNumberFormat="1" applyFont="1" applyFill="1" applyBorder="1" applyAlignment="1" applyProtection="1" quotePrefix="1">
      <alignment horizontal="center"/>
      <protection hidden="1"/>
    </xf>
    <xf numFmtId="0" fontId="0" fillId="4" borderId="0" xfId="0" applyFill="1" applyAlignment="1" applyProtection="1">
      <alignment/>
      <protection/>
    </xf>
    <xf numFmtId="0" fontId="15" fillId="4" borderId="0" xfId="0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right"/>
      <protection/>
    </xf>
    <xf numFmtId="0" fontId="2" fillId="4" borderId="0" xfId="0" applyFont="1" applyFill="1" applyAlignment="1" applyProtection="1">
      <alignment horizontal="center"/>
      <protection/>
    </xf>
    <xf numFmtId="0" fontId="6" fillId="0" borderId="0" xfId="21" applyProtection="1">
      <alignment/>
      <protection hidden="1"/>
    </xf>
    <xf numFmtId="0" fontId="17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6" fillId="0" borderId="34" xfId="21" applyBorder="1" applyProtection="1">
      <alignment/>
      <protection hidden="1"/>
    </xf>
    <xf numFmtId="0" fontId="6" fillId="0" borderId="0" xfId="21" applyBorder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21" applyFont="1" applyFill="1" applyBorder="1" applyAlignment="1" applyProtection="1">
      <alignment horizontal="left"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6" fillId="0" borderId="8" xfId="21" applyBorder="1" applyProtection="1">
      <alignment/>
      <protection hidden="1"/>
    </xf>
    <xf numFmtId="0" fontId="13" fillId="0" borderId="30" xfId="21" applyFont="1" applyFill="1" applyBorder="1" applyAlignment="1" applyProtection="1">
      <alignment horizontal="right"/>
      <protection hidden="1"/>
    </xf>
    <xf numFmtId="0" fontId="13" fillId="0" borderId="30" xfId="21" applyFont="1" applyFill="1" applyBorder="1" applyAlignment="1" applyProtection="1">
      <alignment horizontal="left"/>
      <protection hidden="1"/>
    </xf>
    <xf numFmtId="0" fontId="6" fillId="0" borderId="30" xfId="21" applyBorder="1" applyProtection="1">
      <alignment/>
      <protection hidden="1"/>
    </xf>
    <xf numFmtId="0" fontId="10" fillId="0" borderId="30" xfId="21" applyFont="1" applyFill="1" applyBorder="1" applyAlignment="1" applyProtection="1">
      <alignment horizontal="left"/>
      <protection hidden="1"/>
    </xf>
    <xf numFmtId="0" fontId="6" fillId="0" borderId="29" xfId="21" applyBorder="1" applyProtection="1">
      <alignment/>
      <protection hidden="1"/>
    </xf>
    <xf numFmtId="0" fontId="8" fillId="0" borderId="30" xfId="0" applyFont="1" applyFill="1" applyBorder="1" applyAlignment="1" applyProtection="1">
      <alignment/>
      <protection hidden="1"/>
    </xf>
    <xf numFmtId="9" fontId="9" fillId="0" borderId="12" xfId="22" applyFont="1" applyFill="1" applyBorder="1" applyAlignment="1" applyProtection="1" quotePrefix="1">
      <alignment horizontal="center"/>
      <protection hidden="1"/>
    </xf>
    <xf numFmtId="9" fontId="9" fillId="0" borderId="34" xfId="22" applyFont="1" applyFill="1" applyBorder="1" applyAlignment="1" applyProtection="1" quotePrefix="1">
      <alignment horizontal="center"/>
      <protection hidden="1"/>
    </xf>
    <xf numFmtId="9" fontId="9" fillId="0" borderId="0" xfId="22" applyFont="1" applyFill="1" applyBorder="1" applyAlignment="1" applyProtection="1" quotePrefix="1">
      <alignment horizontal="center"/>
      <protection hidden="1"/>
    </xf>
    <xf numFmtId="9" fontId="9" fillId="0" borderId="10" xfId="22" applyFont="1" applyFill="1" applyBorder="1" applyAlignment="1" applyProtection="1" quotePrefix="1">
      <alignment horizontal="center"/>
      <protection hidden="1"/>
    </xf>
    <xf numFmtId="9" fontId="9" fillId="0" borderId="9" xfId="22" applyFont="1" applyFill="1" applyBorder="1" applyAlignment="1" applyProtection="1" quotePrefix="1">
      <alignment horizontal="center"/>
      <protection hidden="1"/>
    </xf>
    <xf numFmtId="0" fontId="43" fillId="0" borderId="0" xfId="0" applyFont="1" applyFill="1" applyAlignment="1" applyProtection="1">
      <alignment/>
      <protection hidden="1"/>
    </xf>
    <xf numFmtId="0" fontId="9" fillId="0" borderId="8" xfId="21" applyFont="1" applyFill="1" applyBorder="1" applyAlignment="1" applyProtection="1" quotePrefix="1">
      <alignment horizontal="center"/>
      <protection hidden="1"/>
    </xf>
    <xf numFmtId="0" fontId="9" fillId="0" borderId="10" xfId="21" applyFont="1" applyFill="1" applyBorder="1" applyAlignment="1" applyProtection="1" quotePrefix="1">
      <alignment horizontal="center"/>
      <protection hidden="1"/>
    </xf>
    <xf numFmtId="0" fontId="9" fillId="0" borderId="34" xfId="21" applyFont="1" applyFill="1" applyBorder="1" applyAlignment="1" applyProtection="1" quotePrefix="1">
      <alignment horizontal="center"/>
      <protection hidden="1"/>
    </xf>
    <xf numFmtId="0" fontId="9" fillId="0" borderId="0" xfId="21" applyFont="1" applyFill="1" applyBorder="1" applyAlignment="1" applyProtection="1" quotePrefix="1">
      <alignment horizontal="center"/>
      <protection hidden="1"/>
    </xf>
    <xf numFmtId="0" fontId="41" fillId="0" borderId="0" xfId="21" applyFont="1" applyProtection="1">
      <alignment/>
      <protection hidden="1"/>
    </xf>
    <xf numFmtId="0" fontId="9" fillId="0" borderId="7" xfId="21" applyFont="1" applyFill="1" applyBorder="1" applyAlignment="1" applyProtection="1" quotePrefix="1">
      <alignment horizontal="center"/>
      <protection hidden="1"/>
    </xf>
    <xf numFmtId="0" fontId="9" fillId="0" borderId="12" xfId="21" applyFont="1" applyFill="1" applyBorder="1" applyAlignment="1" applyProtection="1" quotePrefix="1">
      <alignment horizontal="center"/>
      <protection hidden="1"/>
    </xf>
    <xf numFmtId="10" fontId="17" fillId="0" borderId="0" xfId="22" applyNumberFormat="1" applyFont="1" applyFill="1" applyBorder="1" applyAlignment="1" applyProtection="1">
      <alignment horizontal="right"/>
      <protection hidden="1"/>
    </xf>
    <xf numFmtId="0" fontId="9" fillId="0" borderId="2" xfId="21" applyFont="1" applyFill="1" applyBorder="1" applyAlignment="1" applyProtection="1" quotePrefix="1">
      <alignment horizontal="center"/>
      <protection hidden="1"/>
    </xf>
    <xf numFmtId="0" fontId="9" fillId="0" borderId="16" xfId="21" applyFont="1" applyFill="1" applyBorder="1" applyAlignment="1" applyProtection="1" quotePrefix="1">
      <alignment horizontal="center"/>
      <protection hidden="1"/>
    </xf>
    <xf numFmtId="178" fontId="9" fillId="0" borderId="2" xfId="21" applyNumberFormat="1" applyFont="1" applyFill="1" applyBorder="1" applyAlignment="1" applyProtection="1" quotePrefix="1">
      <alignment horizontal="right"/>
      <protection hidden="1"/>
    </xf>
    <xf numFmtId="178" fontId="9" fillId="0" borderId="35" xfId="21" applyNumberFormat="1" applyFont="1" applyFill="1" applyBorder="1" applyAlignment="1" applyProtection="1" quotePrefix="1">
      <alignment horizontal="right"/>
      <protection hidden="1"/>
    </xf>
    <xf numFmtId="178" fontId="9" fillId="0" borderId="47" xfId="21" applyNumberFormat="1" applyFont="1" applyFill="1" applyBorder="1" applyAlignment="1" applyProtection="1" quotePrefix="1">
      <alignment horizontal="right"/>
      <protection hidden="1"/>
    </xf>
    <xf numFmtId="178" fontId="9" fillId="0" borderId="34" xfId="21" applyNumberFormat="1" applyFont="1" applyFill="1" applyBorder="1" applyAlignment="1" applyProtection="1" quotePrefix="1">
      <alignment horizontal="right"/>
      <protection hidden="1"/>
    </xf>
    <xf numFmtId="178" fontId="9" fillId="0" borderId="0" xfId="21" applyNumberFormat="1" applyFont="1" applyFill="1" applyBorder="1" applyAlignment="1" applyProtection="1" quotePrefix="1">
      <alignment horizontal="right"/>
      <protection hidden="1"/>
    </xf>
    <xf numFmtId="0" fontId="9" fillId="0" borderId="4" xfId="21" applyFont="1" applyFill="1" applyBorder="1" applyAlignment="1" applyProtection="1" quotePrefix="1">
      <alignment horizontal="center"/>
      <protection hidden="1"/>
    </xf>
    <xf numFmtId="0" fontId="9" fillId="0" borderId="32" xfId="21" applyFont="1" applyFill="1" applyBorder="1" applyAlignment="1" applyProtection="1" quotePrefix="1">
      <alignment horizontal="center"/>
      <protection hidden="1"/>
    </xf>
    <xf numFmtId="44" fontId="17" fillId="0" borderId="0" xfId="0" applyNumberFormat="1" applyFont="1" applyFill="1" applyBorder="1" applyAlignment="1" applyProtection="1">
      <alignment horizontal="right"/>
      <protection hidden="1"/>
    </xf>
    <xf numFmtId="178" fontId="9" fillId="0" borderId="4" xfId="21" applyNumberFormat="1" applyFont="1" applyFill="1" applyBorder="1" applyAlignment="1" applyProtection="1" quotePrefix="1">
      <alignment horizontal="right"/>
      <protection hidden="1"/>
    </xf>
    <xf numFmtId="178" fontId="9" fillId="0" borderId="38" xfId="21" applyNumberFormat="1" applyFont="1" applyFill="1" applyBorder="1" applyAlignment="1" applyProtection="1" quotePrefix="1">
      <alignment horizontal="right"/>
      <protection hidden="1"/>
    </xf>
    <xf numFmtId="178" fontId="9" fillId="0" borderId="48" xfId="21" applyNumberFormat="1" applyFont="1" applyFill="1" applyBorder="1" applyAlignment="1" applyProtection="1" quotePrefix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49" xfId="21" applyFont="1" applyFill="1" applyBorder="1" applyAlignment="1" applyProtection="1" quotePrefix="1">
      <alignment horizontal="center"/>
      <protection hidden="1"/>
    </xf>
    <xf numFmtId="0" fontId="9" fillId="0" borderId="50" xfId="21" applyFont="1" applyFill="1" applyBorder="1" applyAlignment="1" applyProtection="1" quotePrefix="1">
      <alignment horizontal="center"/>
      <protection hidden="1"/>
    </xf>
    <xf numFmtId="0" fontId="8" fillId="0" borderId="51" xfId="0" applyFont="1" applyFill="1" applyBorder="1" applyAlignment="1" applyProtection="1">
      <alignment/>
      <protection hidden="1"/>
    </xf>
    <xf numFmtId="0" fontId="8" fillId="0" borderId="52" xfId="0" applyFont="1" applyFill="1" applyBorder="1" applyAlignment="1" applyProtection="1">
      <alignment/>
      <protection hidden="1"/>
    </xf>
    <xf numFmtId="0" fontId="7" fillId="0" borderId="52" xfId="0" applyFont="1" applyFill="1" applyBorder="1" applyAlignment="1" applyProtection="1">
      <alignment horizontal="right"/>
      <protection hidden="1"/>
    </xf>
    <xf numFmtId="0" fontId="7" fillId="0" borderId="52" xfId="0" applyFont="1" applyFill="1" applyBorder="1" applyAlignment="1" applyProtection="1">
      <alignment/>
      <protection hidden="1"/>
    </xf>
    <xf numFmtId="0" fontId="3" fillId="0" borderId="52" xfId="0" applyFont="1" applyFill="1" applyBorder="1" applyAlignment="1" applyProtection="1">
      <alignment/>
      <protection hidden="1"/>
    </xf>
    <xf numFmtId="0" fontId="6" fillId="0" borderId="52" xfId="21" applyBorder="1" applyProtection="1">
      <alignment/>
      <protection hidden="1"/>
    </xf>
    <xf numFmtId="0" fontId="6" fillId="0" borderId="53" xfId="21" applyBorder="1" applyProtection="1">
      <alignment/>
      <protection hidden="1"/>
    </xf>
    <xf numFmtId="178" fontId="9" fillId="0" borderId="49" xfId="21" applyNumberFormat="1" applyFont="1" applyFill="1" applyBorder="1" applyAlignment="1" applyProtection="1" quotePrefix="1">
      <alignment horizontal="right"/>
      <protection hidden="1"/>
    </xf>
    <xf numFmtId="178" fontId="6" fillId="0" borderId="0" xfId="21" applyNumberFormat="1" applyProtection="1">
      <alignment/>
      <protection hidden="1"/>
    </xf>
    <xf numFmtId="178" fontId="9" fillId="0" borderId="31" xfId="21" applyNumberFormat="1" applyFont="1" applyFill="1" applyBorder="1" applyAlignment="1" applyProtection="1" quotePrefix="1">
      <alignment horizontal="right"/>
      <protection hidden="1"/>
    </xf>
    <xf numFmtId="178" fontId="9" fillId="0" borderId="54" xfId="21" applyNumberFormat="1" applyFont="1" applyFill="1" applyBorder="1" applyAlignment="1" applyProtection="1" quotePrefix="1">
      <alignment horizontal="right"/>
      <protection hidden="1"/>
    </xf>
    <xf numFmtId="178" fontId="9" fillId="0" borderId="55" xfId="21" applyNumberFormat="1" applyFont="1" applyFill="1" applyBorder="1" applyAlignment="1" applyProtection="1" quotePrefix="1">
      <alignment horizontal="right"/>
      <protection hidden="1"/>
    </xf>
    <xf numFmtId="44" fontId="9" fillId="3" borderId="10" xfId="17" applyFont="1" applyFill="1" applyBorder="1" applyAlignment="1" applyProtection="1" quotePrefix="1">
      <alignment horizontal="center"/>
      <protection hidden="1"/>
    </xf>
    <xf numFmtId="44" fontId="9" fillId="3" borderId="9" xfId="17" applyFont="1" applyFill="1" applyBorder="1" applyAlignment="1" applyProtection="1" quotePrefix="1">
      <alignment horizontal="center"/>
      <protection hidden="1"/>
    </xf>
    <xf numFmtId="0" fontId="6" fillId="0" borderId="0" xfId="21" applyAlignment="1" applyProtection="1">
      <alignment horizontal="center"/>
      <protection hidden="1"/>
    </xf>
    <xf numFmtId="0" fontId="13" fillId="0" borderId="18" xfId="21" applyFont="1" applyFill="1" applyBorder="1" applyAlignment="1" applyProtection="1">
      <alignment horizontal="center"/>
      <protection hidden="1"/>
    </xf>
    <xf numFmtId="0" fontId="9" fillId="0" borderId="10" xfId="21" applyFont="1" applyFill="1" applyBorder="1" applyAlignment="1" applyProtection="1">
      <alignment horizontal="center"/>
      <protection hidden="1"/>
    </xf>
    <xf numFmtId="0" fontId="9" fillId="0" borderId="18" xfId="21" applyFont="1" applyFill="1" applyBorder="1" applyAlignment="1" applyProtection="1">
      <alignment horizontal="center"/>
      <protection hidden="1"/>
    </xf>
    <xf numFmtId="2" fontId="4" fillId="0" borderId="0" xfId="21" applyNumberFormat="1" applyFont="1" applyBorder="1" applyAlignment="1" applyProtection="1">
      <alignment horizontal="center"/>
      <protection hidden="1"/>
    </xf>
    <xf numFmtId="0" fontId="9" fillId="0" borderId="20" xfId="21" applyFont="1" applyFill="1" applyBorder="1" applyAlignment="1" applyProtection="1">
      <alignment horizontal="center"/>
      <protection hidden="1"/>
    </xf>
    <xf numFmtId="178" fontId="9" fillId="0" borderId="23" xfId="21" applyNumberFormat="1" applyFont="1" applyFill="1" applyBorder="1" applyAlignment="1" applyProtection="1" quotePrefix="1">
      <alignment horizontal="center"/>
      <protection hidden="1"/>
    </xf>
    <xf numFmtId="0" fontId="9" fillId="0" borderId="40" xfId="21" applyFont="1" applyFill="1" applyBorder="1" applyAlignment="1" applyProtection="1" quotePrefix="1">
      <alignment horizontal="center"/>
      <protection hidden="1"/>
    </xf>
    <xf numFmtId="0" fontId="9" fillId="0" borderId="56" xfId="21" applyFont="1" applyFill="1" applyBorder="1" applyAlignment="1" applyProtection="1" quotePrefix="1">
      <alignment horizontal="center"/>
      <protection hidden="1"/>
    </xf>
    <xf numFmtId="0" fontId="9" fillId="0" borderId="22" xfId="21" applyFont="1" applyFill="1" applyBorder="1" applyAlignment="1" applyProtection="1" quotePrefix="1">
      <alignment horizontal="center"/>
      <protection hidden="1"/>
    </xf>
    <xf numFmtId="178" fontId="9" fillId="0" borderId="5" xfId="21" applyNumberFormat="1" applyFont="1" applyFill="1" applyBorder="1" applyAlignment="1" applyProtection="1" quotePrefix="1">
      <alignment horizontal="right"/>
      <protection hidden="1"/>
    </xf>
    <xf numFmtId="178" fontId="9" fillId="0" borderId="37" xfId="21" applyNumberFormat="1" applyFont="1" applyFill="1" applyBorder="1" applyAlignment="1" applyProtection="1" quotePrefix="1">
      <alignment horizontal="right"/>
      <protection hidden="1"/>
    </xf>
    <xf numFmtId="178" fontId="9" fillId="0" borderId="57" xfId="21" applyNumberFormat="1" applyFont="1" applyFill="1" applyBorder="1" applyAlignment="1" applyProtection="1" quotePrefix="1">
      <alignment horizontal="right"/>
      <protection hidden="1"/>
    </xf>
    <xf numFmtId="0" fontId="9" fillId="0" borderId="20" xfId="21" applyFont="1" applyFill="1" applyBorder="1" applyAlignment="1" applyProtection="1" quotePrefix="1">
      <alignment horizontal="center"/>
      <protection hidden="1"/>
    </xf>
    <xf numFmtId="178" fontId="9" fillId="0" borderId="3" xfId="21" applyNumberFormat="1" applyFont="1" applyFill="1" applyBorder="1" applyAlignment="1" applyProtection="1" quotePrefix="1">
      <alignment horizontal="right"/>
      <protection hidden="1"/>
    </xf>
    <xf numFmtId="178" fontId="9" fillId="0" borderId="16" xfId="21" applyNumberFormat="1" applyFont="1" applyFill="1" applyBorder="1" applyAlignment="1" applyProtection="1" quotePrefix="1">
      <alignment horizontal="right"/>
      <protection hidden="1"/>
    </xf>
    <xf numFmtId="178" fontId="9" fillId="0" borderId="1" xfId="21" applyNumberFormat="1" applyFont="1" applyFill="1" applyBorder="1" applyAlignment="1" applyProtection="1" quotePrefix="1">
      <alignment horizontal="right"/>
      <protection hidden="1"/>
    </xf>
    <xf numFmtId="178" fontId="9" fillId="0" borderId="32" xfId="21" applyNumberFormat="1" applyFont="1" applyFill="1" applyBorder="1" applyAlignment="1" applyProtection="1" quotePrefix="1">
      <alignment horizontal="right"/>
      <protection hidden="1"/>
    </xf>
    <xf numFmtId="0" fontId="9" fillId="0" borderId="22" xfId="21" applyFont="1" applyFill="1" applyBorder="1" applyAlignment="1" applyProtection="1">
      <alignment horizontal="center"/>
      <protection hidden="1"/>
    </xf>
    <xf numFmtId="0" fontId="16" fillId="0" borderId="0" xfId="21" applyFont="1" applyFill="1" applyBorder="1" applyAlignment="1" applyProtection="1">
      <alignment horizontal="left"/>
      <protection hidden="1"/>
    </xf>
    <xf numFmtId="0" fontId="13" fillId="0" borderId="0" xfId="21" applyFont="1" applyFill="1" applyBorder="1" applyAlignment="1" applyProtection="1">
      <alignment horizontal="right"/>
      <protection hidden="1"/>
    </xf>
    <xf numFmtId="0" fontId="13" fillId="0" borderId="34" xfId="21" applyFont="1" applyFill="1" applyBorder="1" applyAlignment="1" applyProtection="1">
      <alignment horizontal="right"/>
      <protection hidden="1"/>
    </xf>
    <xf numFmtId="0" fontId="13" fillId="0" borderId="2" xfId="21" applyFont="1" applyFill="1" applyBorder="1" applyAlignment="1" applyProtection="1">
      <alignment horizontal="center"/>
      <protection hidden="1"/>
    </xf>
    <xf numFmtId="0" fontId="13" fillId="0" borderId="3" xfId="21" applyFont="1" applyFill="1" applyBorder="1" applyAlignment="1" applyProtection="1">
      <alignment horizontal="center"/>
      <protection hidden="1"/>
    </xf>
    <xf numFmtId="0" fontId="13" fillId="0" borderId="16" xfId="21" applyFont="1" applyFill="1" applyBorder="1" applyAlignment="1" applyProtection="1">
      <alignment horizontal="center"/>
      <protection hidden="1"/>
    </xf>
    <xf numFmtId="0" fontId="13" fillId="0" borderId="0" xfId="21" applyFont="1" applyFill="1" applyBorder="1" applyAlignment="1" applyProtection="1">
      <alignment horizontal="center"/>
      <protection hidden="1"/>
    </xf>
    <xf numFmtId="180" fontId="13" fillId="0" borderId="0" xfId="22" applyNumberFormat="1" applyFont="1" applyFill="1" applyBorder="1" applyAlignment="1" applyProtection="1">
      <alignment horizontal="center"/>
      <protection hidden="1"/>
    </xf>
    <xf numFmtId="178" fontId="13" fillId="0" borderId="5" xfId="21" applyNumberFormat="1" applyFont="1" applyFill="1" applyBorder="1" applyAlignment="1" applyProtection="1">
      <alignment horizontal="center"/>
      <protection hidden="1"/>
    </xf>
    <xf numFmtId="178" fontId="13" fillId="0" borderId="6" xfId="21" applyNumberFormat="1" applyFont="1" applyFill="1" applyBorder="1" applyAlignment="1" applyProtection="1">
      <alignment horizontal="center"/>
      <protection hidden="1"/>
    </xf>
    <xf numFmtId="178" fontId="13" fillId="0" borderId="17" xfId="21" applyNumberFormat="1" applyFont="1" applyFill="1" applyBorder="1" applyAlignment="1" applyProtection="1">
      <alignment horizontal="center"/>
      <protection hidden="1"/>
    </xf>
    <xf numFmtId="0" fontId="13" fillId="0" borderId="0" xfId="21" applyFont="1" applyFill="1" applyBorder="1" applyAlignment="1" applyProtection="1">
      <alignment horizontal="left"/>
      <protection hidden="1"/>
    </xf>
    <xf numFmtId="178" fontId="13" fillId="0" borderId="0" xfId="21" applyNumberFormat="1" applyFont="1" applyFill="1" applyBorder="1" applyAlignment="1" applyProtection="1">
      <alignment horizontal="center"/>
      <protection hidden="1"/>
    </xf>
    <xf numFmtId="178" fontId="9" fillId="0" borderId="58" xfId="21" applyNumberFormat="1" applyFont="1" applyFill="1" applyBorder="1" applyAlignment="1" applyProtection="1" quotePrefix="1">
      <alignment horizontal="right"/>
      <protection hidden="1"/>
    </xf>
    <xf numFmtId="178" fontId="9" fillId="0" borderId="50" xfId="21" applyNumberFormat="1" applyFont="1" applyFill="1" applyBorder="1" applyAlignment="1" applyProtection="1" quotePrefix="1">
      <alignment horizontal="right"/>
      <protection hidden="1"/>
    </xf>
    <xf numFmtId="0" fontId="9" fillId="0" borderId="5" xfId="21" applyFont="1" applyFill="1" applyBorder="1" applyAlignment="1" applyProtection="1" quotePrefix="1">
      <alignment horizontal="center"/>
      <protection hidden="1"/>
    </xf>
    <xf numFmtId="0" fontId="9" fillId="0" borderId="21" xfId="21" applyFont="1" applyFill="1" applyBorder="1" applyAlignment="1" applyProtection="1">
      <alignment horizontal="center"/>
      <protection hidden="1"/>
    </xf>
    <xf numFmtId="178" fontId="9" fillId="0" borderId="25" xfId="21" applyNumberFormat="1" applyFont="1" applyFill="1" applyBorder="1" applyAlignment="1" applyProtection="1" quotePrefix="1">
      <alignment horizontal="center"/>
      <protection hidden="1"/>
    </xf>
    <xf numFmtId="0" fontId="13" fillId="0" borderId="51" xfId="21" applyFont="1" applyFill="1" applyBorder="1" applyAlignment="1" applyProtection="1">
      <alignment horizontal="left"/>
      <protection hidden="1"/>
    </xf>
    <xf numFmtId="0" fontId="13" fillId="0" borderId="52" xfId="21" applyFont="1" applyFill="1" applyBorder="1" applyAlignment="1" applyProtection="1">
      <alignment horizontal="left"/>
      <protection hidden="1"/>
    </xf>
    <xf numFmtId="0" fontId="9" fillId="0" borderId="9" xfId="21" applyFont="1" applyFill="1" applyBorder="1" applyAlignment="1" applyProtection="1" quotePrefix="1">
      <alignment horizontal="center"/>
      <protection hidden="1"/>
    </xf>
    <xf numFmtId="0" fontId="9" fillId="0" borderId="42" xfId="21" applyFont="1" applyFill="1" applyBorder="1" applyAlignment="1" applyProtection="1" quotePrefix="1">
      <alignment horizontal="center"/>
      <protection hidden="1"/>
    </xf>
    <xf numFmtId="178" fontId="9" fillId="0" borderId="40" xfId="21" applyNumberFormat="1" applyFont="1" applyFill="1" applyBorder="1" applyAlignment="1" applyProtection="1" quotePrefix="1">
      <alignment horizontal="right"/>
      <protection hidden="1"/>
    </xf>
    <xf numFmtId="178" fontId="9" fillId="0" borderId="36" xfId="21" applyNumberFormat="1" applyFont="1" applyFill="1" applyBorder="1" applyAlignment="1" applyProtection="1" quotePrefix="1">
      <alignment horizontal="right"/>
      <protection hidden="1"/>
    </xf>
    <xf numFmtId="178" fontId="9" fillId="0" borderId="59" xfId="21" applyNumberFormat="1" applyFont="1" applyFill="1" applyBorder="1" applyAlignment="1" applyProtection="1" quotePrefix="1">
      <alignment horizontal="right"/>
      <protection hidden="1"/>
    </xf>
    <xf numFmtId="178" fontId="7" fillId="0" borderId="34" xfId="21" applyNumberFormat="1" applyFont="1" applyBorder="1" applyProtection="1">
      <alignment/>
      <protection hidden="1"/>
    </xf>
    <xf numFmtId="178" fontId="7" fillId="0" borderId="0" xfId="21" applyNumberFormat="1" applyFont="1" applyBorder="1" applyProtection="1">
      <alignment/>
      <protection hidden="1"/>
    </xf>
    <xf numFmtId="178" fontId="9" fillId="0" borderId="60" xfId="21" applyNumberFormat="1" applyFont="1" applyFill="1" applyBorder="1" applyAlignment="1" applyProtection="1" quotePrefix="1">
      <alignment horizontal="right"/>
      <protection hidden="1"/>
    </xf>
    <xf numFmtId="178" fontId="9" fillId="0" borderId="33" xfId="21" applyNumberFormat="1" applyFont="1" applyFill="1" applyBorder="1" applyAlignment="1" applyProtection="1" quotePrefix="1">
      <alignment horizontal="right"/>
      <protection hidden="1"/>
    </xf>
    <xf numFmtId="0" fontId="9" fillId="0" borderId="11" xfId="21" applyFont="1" applyFill="1" applyBorder="1" applyAlignment="1" applyProtection="1" quotePrefix="1">
      <alignment horizontal="center"/>
      <protection hidden="1"/>
    </xf>
    <xf numFmtId="178" fontId="9" fillId="0" borderId="26" xfId="21" applyNumberFormat="1" applyFont="1" applyFill="1" applyBorder="1" applyAlignment="1" applyProtection="1" quotePrefix="1">
      <alignment horizontal="right"/>
      <protection hidden="1"/>
    </xf>
    <xf numFmtId="0" fontId="14" fillId="0" borderId="0" xfId="21" applyFont="1" applyFill="1" applyBorder="1" applyAlignment="1" applyProtection="1">
      <alignment horizontal="left"/>
      <protection hidden="1"/>
    </xf>
    <xf numFmtId="178" fontId="13" fillId="0" borderId="25" xfId="21" applyNumberFormat="1" applyFont="1" applyFill="1" applyBorder="1" applyAlignment="1" applyProtection="1">
      <alignment horizontal="center"/>
      <protection hidden="1"/>
    </xf>
    <xf numFmtId="0" fontId="4" fillId="0" borderId="0" xfId="21" applyFont="1" applyProtection="1">
      <alignment/>
      <protection hidden="1"/>
    </xf>
    <xf numFmtId="0" fontId="4" fillId="0" borderId="0" xfId="21" applyFont="1" applyAlignment="1" applyProtection="1">
      <alignment horizontal="center"/>
      <protection hidden="1"/>
    </xf>
    <xf numFmtId="178" fontId="4" fillId="0" borderId="0" xfId="21" applyNumberFormat="1" applyFont="1" applyAlignment="1" applyProtection="1">
      <alignment horizontal="center"/>
      <protection hidden="1"/>
    </xf>
    <xf numFmtId="0" fontId="5" fillId="0" borderId="1" xfId="21" applyFont="1" applyBorder="1" applyAlignment="1" applyProtection="1">
      <alignment horizontal="center"/>
      <protection hidden="1"/>
    </xf>
    <xf numFmtId="0" fontId="4" fillId="0" borderId="61" xfId="21" applyFont="1" applyBorder="1" applyAlignment="1" applyProtection="1">
      <alignment horizontal="center"/>
      <protection hidden="1"/>
    </xf>
    <xf numFmtId="1" fontId="4" fillId="0" borderId="61" xfId="21" applyNumberFormat="1" applyFont="1" applyBorder="1" applyAlignment="1" applyProtection="1">
      <alignment horizontal="center"/>
      <protection hidden="1"/>
    </xf>
    <xf numFmtId="0" fontId="5" fillId="0" borderId="0" xfId="21" applyFont="1" applyBorder="1" applyAlignment="1" applyProtection="1">
      <alignment horizontal="center"/>
      <protection hidden="1"/>
    </xf>
    <xf numFmtId="1" fontId="4" fillId="0" borderId="0" xfId="21" applyNumberFormat="1" applyFont="1" applyBorder="1" applyAlignment="1" applyProtection="1">
      <alignment horizontal="center"/>
      <protection hidden="1"/>
    </xf>
    <xf numFmtId="0" fontId="6" fillId="0" borderId="1" xfId="21" applyBorder="1" applyAlignment="1" applyProtection="1">
      <alignment horizontal="center"/>
      <protection hidden="1"/>
    </xf>
    <xf numFmtId="1" fontId="4" fillId="0" borderId="1" xfId="21" applyNumberFormat="1" applyFont="1" applyBorder="1" applyAlignment="1" applyProtection="1">
      <alignment horizontal="center"/>
      <protection hidden="1"/>
    </xf>
    <xf numFmtId="6" fontId="6" fillId="0" borderId="0" xfId="21" applyNumberFormat="1" applyProtection="1">
      <alignment/>
      <protection hidden="1"/>
    </xf>
    <xf numFmtId="1" fontId="4" fillId="0" borderId="62" xfId="21" applyNumberFormat="1" applyFont="1" applyBorder="1" applyAlignment="1" applyProtection="1">
      <alignment horizontal="center"/>
      <protection hidden="1"/>
    </xf>
    <xf numFmtId="16" fontId="4" fillId="0" borderId="61" xfId="21" applyNumberFormat="1" applyFont="1" applyBorder="1" applyAlignment="1" applyProtection="1">
      <alignment horizontal="center"/>
      <protection hidden="1"/>
    </xf>
    <xf numFmtId="2" fontId="4" fillId="0" borderId="61" xfId="21" applyNumberFormat="1" applyFont="1" applyBorder="1" applyAlignment="1" applyProtection="1">
      <alignment horizontal="center"/>
      <protection hidden="1"/>
    </xf>
    <xf numFmtId="178" fontId="4" fillId="0" borderId="1" xfId="21" applyNumberFormat="1" applyFont="1" applyBorder="1" applyAlignment="1" applyProtection="1">
      <alignment horizontal="center"/>
      <protection hidden="1"/>
    </xf>
    <xf numFmtId="179" fontId="6" fillId="0" borderId="0" xfId="21" applyNumberFormat="1" applyAlignment="1" applyProtection="1">
      <alignment horizontal="center"/>
      <protection hidden="1"/>
    </xf>
    <xf numFmtId="0" fontId="6" fillId="0" borderId="1" xfId="21" applyBorder="1" applyProtection="1">
      <alignment/>
      <protection hidden="1"/>
    </xf>
    <xf numFmtId="0" fontId="4" fillId="0" borderId="41" xfId="21" applyFont="1" applyBorder="1" applyAlignment="1" applyProtection="1">
      <alignment horizontal="center"/>
      <protection hidden="1"/>
    </xf>
    <xf numFmtId="2" fontId="4" fillId="0" borderId="41" xfId="21" applyNumberFormat="1" applyFont="1" applyBorder="1" applyAlignment="1" applyProtection="1">
      <alignment horizontal="center"/>
      <protection hidden="1"/>
    </xf>
    <xf numFmtId="1" fontId="4" fillId="0" borderId="41" xfId="21" applyNumberFormat="1" applyFont="1" applyBorder="1" applyAlignment="1" applyProtection="1">
      <alignment horizontal="center"/>
      <protection hidden="1"/>
    </xf>
    <xf numFmtId="1" fontId="4" fillId="0" borderId="56" xfId="21" applyNumberFormat="1" applyFont="1" applyBorder="1" applyAlignment="1" applyProtection="1">
      <alignment horizontal="center"/>
      <protection hidden="1"/>
    </xf>
    <xf numFmtId="0" fontId="4" fillId="0" borderId="0" xfId="21" applyFont="1" applyAlignment="1" applyProtection="1">
      <alignment horizontal="right"/>
      <protection hidden="1"/>
    </xf>
    <xf numFmtId="0" fontId="9" fillId="0" borderId="9" xfId="21" applyFont="1" applyFill="1" applyBorder="1" applyAlignment="1" applyProtection="1">
      <alignment horizontal="center"/>
      <protection hidden="1"/>
    </xf>
    <xf numFmtId="0" fontId="6" fillId="0" borderId="2" xfId="21" applyBorder="1" applyProtection="1">
      <alignment/>
      <protection hidden="1"/>
    </xf>
    <xf numFmtId="0" fontId="6" fillId="0" borderId="3" xfId="21" applyBorder="1" applyProtection="1">
      <alignment/>
      <protection hidden="1"/>
    </xf>
    <xf numFmtId="0" fontId="6" fillId="0" borderId="16" xfId="21" applyBorder="1" applyProtection="1">
      <alignment/>
      <protection hidden="1"/>
    </xf>
    <xf numFmtId="0" fontId="6" fillId="0" borderId="4" xfId="21" applyBorder="1" applyProtection="1">
      <alignment/>
      <protection hidden="1"/>
    </xf>
    <xf numFmtId="0" fontId="6" fillId="0" borderId="32" xfId="21" applyBorder="1" applyProtection="1">
      <alignment/>
      <protection hidden="1"/>
    </xf>
    <xf numFmtId="0" fontId="6" fillId="0" borderId="5" xfId="21" applyBorder="1" applyProtection="1">
      <alignment/>
      <protection hidden="1"/>
    </xf>
    <xf numFmtId="0" fontId="6" fillId="0" borderId="6" xfId="21" applyBorder="1" applyProtection="1">
      <alignment/>
      <protection hidden="1"/>
    </xf>
    <xf numFmtId="0" fontId="6" fillId="0" borderId="17" xfId="21" applyBorder="1" applyProtection="1">
      <alignment/>
      <protection hidden="1"/>
    </xf>
    <xf numFmtId="0" fontId="6" fillId="0" borderId="0" xfId="21" applyFont="1" applyProtection="1">
      <alignment/>
      <protection hidden="1"/>
    </xf>
    <xf numFmtId="0" fontId="15" fillId="2" borderId="9" xfId="0" applyFont="1" applyFill="1" applyBorder="1" applyAlignment="1" applyProtection="1">
      <alignment/>
      <protection hidden="1" locked="0"/>
    </xf>
    <xf numFmtId="9" fontId="9" fillId="2" borderId="10" xfId="22" applyFont="1" applyFill="1" applyBorder="1" applyAlignment="1" applyProtection="1" quotePrefix="1">
      <alignment horizontal="center"/>
      <protection hidden="1" locked="0"/>
    </xf>
    <xf numFmtId="178" fontId="9" fillId="2" borderId="3" xfId="21" applyNumberFormat="1" applyFont="1" applyFill="1" applyBorder="1" applyAlignment="1" applyProtection="1" quotePrefix="1">
      <alignment horizontal="center"/>
      <protection hidden="1" locked="0"/>
    </xf>
    <xf numFmtId="178" fontId="9" fillId="2" borderId="1" xfId="21" applyNumberFormat="1" applyFont="1" applyFill="1" applyBorder="1" applyAlignment="1" applyProtection="1" quotePrefix="1">
      <alignment horizontal="center"/>
      <protection hidden="1" locked="0"/>
    </xf>
    <xf numFmtId="178" fontId="9" fillId="2" borderId="6" xfId="21" applyNumberFormat="1" applyFont="1" applyFill="1" applyBorder="1" applyAlignment="1" applyProtection="1" quotePrefix="1">
      <alignment horizontal="center"/>
      <protection hidden="1" locked="0"/>
    </xf>
    <xf numFmtId="0" fontId="13" fillId="2" borderId="9" xfId="21" applyFont="1" applyFill="1" applyBorder="1" applyAlignment="1" applyProtection="1">
      <alignment horizontal="left"/>
      <protection hidden="1" locked="0"/>
    </xf>
    <xf numFmtId="180" fontId="13" fillId="2" borderId="4" xfId="22" applyNumberFormat="1" applyFont="1" applyFill="1" applyBorder="1" applyAlignment="1" applyProtection="1">
      <alignment horizontal="center"/>
      <protection hidden="1" locked="0"/>
    </xf>
    <xf numFmtId="180" fontId="13" fillId="2" borderId="1" xfId="22" applyNumberFormat="1" applyFont="1" applyFill="1" applyBorder="1" applyAlignment="1" applyProtection="1">
      <alignment horizontal="center"/>
      <protection hidden="1" locked="0"/>
    </xf>
    <xf numFmtId="180" fontId="13" fillId="2" borderId="32" xfId="22" applyNumberFormat="1" applyFont="1" applyFill="1" applyBorder="1" applyAlignment="1" applyProtection="1">
      <alignment horizontal="center"/>
      <protection hidden="1" locked="0"/>
    </xf>
    <xf numFmtId="0" fontId="13" fillId="2" borderId="11" xfId="21" applyFont="1" applyFill="1" applyBorder="1" applyAlignment="1" applyProtection="1">
      <alignment horizontal="left"/>
      <protection hidden="1" locked="0"/>
    </xf>
    <xf numFmtId="178" fontId="13" fillId="2" borderId="23" xfId="21" applyNumberFormat="1" applyFont="1" applyFill="1" applyBorder="1" applyAlignment="1" applyProtection="1">
      <alignment horizontal="center"/>
      <protection hidden="1" locked="0"/>
    </xf>
    <xf numFmtId="178" fontId="13" fillId="2" borderId="24" xfId="21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9" fontId="7" fillId="0" borderId="2" xfId="0" applyNumberFormat="1" applyFont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right"/>
      <protection hidden="1"/>
    </xf>
    <xf numFmtId="9" fontId="7" fillId="0" borderId="3" xfId="0" applyNumberFormat="1" applyFont="1" applyBorder="1" applyAlignment="1" applyProtection="1">
      <alignment horizontal="center"/>
      <protection hidden="1"/>
    </xf>
    <xf numFmtId="9" fontId="7" fillId="0" borderId="4" xfId="0" applyNumberFormat="1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right"/>
      <protection hidden="1"/>
    </xf>
    <xf numFmtId="9" fontId="7" fillId="0" borderId="1" xfId="0" applyNumberFormat="1" applyFont="1" applyBorder="1" applyAlignment="1" applyProtection="1">
      <alignment horizontal="center"/>
      <protection hidden="1"/>
    </xf>
    <xf numFmtId="9" fontId="7" fillId="0" borderId="5" xfId="0" applyNumberFormat="1" applyFont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right"/>
      <protection hidden="1"/>
    </xf>
    <xf numFmtId="9" fontId="7" fillId="0" borderId="6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/>
      <protection hidden="1"/>
    </xf>
    <xf numFmtId="10" fontId="1" fillId="0" borderId="9" xfId="0" applyNumberFormat="1" applyFont="1" applyBorder="1" applyAlignment="1" applyProtection="1">
      <alignment horizontal="center"/>
      <protection hidden="1"/>
    </xf>
    <xf numFmtId="179" fontId="1" fillId="0" borderId="9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20" xfId="0" applyBorder="1" applyAlignment="1" applyProtection="1">
      <alignment horizontal="right"/>
      <protection hidden="1"/>
    </xf>
    <xf numFmtId="178" fontId="1" fillId="2" borderId="23" xfId="0" applyNumberFormat="1" applyFont="1" applyFill="1" applyBorder="1" applyAlignment="1" applyProtection="1">
      <alignment horizontal="center"/>
      <protection hidden="1" locked="0"/>
    </xf>
    <xf numFmtId="0" fontId="0" fillId="0" borderId="35" xfId="0" applyBorder="1" applyAlignment="1" applyProtection="1">
      <alignment/>
      <protection hidden="1"/>
    </xf>
    <xf numFmtId="180" fontId="1" fillId="0" borderId="16" xfId="22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178" fontId="1" fillId="2" borderId="2" xfId="0" applyNumberFormat="1" applyFont="1" applyFill="1" applyBorder="1" applyAlignment="1" applyProtection="1">
      <alignment horizontal="center"/>
      <protection hidden="1" locked="0"/>
    </xf>
    <xf numFmtId="0" fontId="0" fillId="3" borderId="8" xfId="0" applyFill="1" applyBorder="1" applyAlignment="1" applyProtection="1">
      <alignment/>
      <protection hidden="1"/>
    </xf>
    <xf numFmtId="0" fontId="1" fillId="3" borderId="29" xfId="0" applyFont="1" applyFill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2" xfId="0" applyBorder="1" applyAlignment="1" applyProtection="1">
      <alignment horizontal="right"/>
      <protection hidden="1"/>
    </xf>
    <xf numFmtId="178" fontId="1" fillId="2" borderId="24" xfId="0" applyNumberFormat="1" applyFont="1" applyFill="1" applyBorder="1" applyAlignment="1" applyProtection="1">
      <alignment horizontal="center"/>
      <protection hidden="1" locked="0"/>
    </xf>
    <xf numFmtId="0" fontId="0" fillId="0" borderId="37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180" fontId="1" fillId="0" borderId="17" xfId="22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21" xfId="0" applyBorder="1" applyAlignment="1" applyProtection="1">
      <alignment horizontal="right"/>
      <protection hidden="1"/>
    </xf>
    <xf numFmtId="178" fontId="1" fillId="2" borderId="25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/>
    </xf>
    <xf numFmtId="179" fontId="1" fillId="0" borderId="29" xfId="0" applyNumberFormat="1" applyFont="1" applyBorder="1" applyAlignment="1" applyProtection="1">
      <alignment horizontal="center"/>
      <protection hidden="1"/>
    </xf>
    <xf numFmtId="0" fontId="0" fillId="3" borderId="19" xfId="0" applyFont="1" applyFill="1" applyBorder="1" applyAlignment="1" applyProtection="1">
      <alignment/>
      <protection hidden="1"/>
    </xf>
    <xf numFmtId="0" fontId="0" fillId="3" borderId="18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10" fontId="1" fillId="0" borderId="29" xfId="22" applyNumberFormat="1" applyFont="1" applyBorder="1" applyAlignment="1" applyProtection="1">
      <alignment horizontal="center"/>
      <protection hidden="1"/>
    </xf>
    <xf numFmtId="0" fontId="35" fillId="3" borderId="8" xfId="0" applyFont="1" applyFill="1" applyBorder="1" applyAlignment="1" applyProtection="1">
      <alignment/>
      <protection hidden="1"/>
    </xf>
    <xf numFmtId="0" fontId="35" fillId="3" borderId="29" xfId="0" applyFont="1" applyFill="1" applyBorder="1" applyAlignment="1" applyProtection="1">
      <alignment/>
      <protection hidden="1"/>
    </xf>
    <xf numFmtId="0" fontId="36" fillId="0" borderId="9" xfId="0" applyFont="1" applyBorder="1" applyAlignment="1" applyProtection="1">
      <alignment horizontal="center"/>
      <protection hidden="1"/>
    </xf>
    <xf numFmtId="0" fontId="36" fillId="0" borderId="9" xfId="0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30" xfId="0" applyFont="1" applyFill="1" applyBorder="1" applyAlignment="1" applyProtection="1">
      <alignment horizontal="right"/>
      <protection hidden="1"/>
    </xf>
    <xf numFmtId="178" fontId="1" fillId="2" borderId="3" xfId="0" applyNumberFormat="1" applyFont="1" applyFill="1" applyBorder="1" applyAlignment="1" applyProtection="1">
      <alignment horizontal="center"/>
      <protection hidden="1" locked="0"/>
    </xf>
    <xf numFmtId="180" fontId="1" fillId="0" borderId="16" xfId="22" applyNumberFormat="1" applyFont="1" applyFill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178" fontId="1" fillId="2" borderId="16" xfId="0" applyNumberFormat="1" applyFont="1" applyFill="1" applyBorder="1" applyAlignment="1" applyProtection="1">
      <alignment horizontal="center"/>
      <protection hidden="1" locked="0"/>
    </xf>
    <xf numFmtId="179" fontId="1" fillId="0" borderId="47" xfId="0" applyNumberFormat="1" applyFont="1" applyBorder="1" applyAlignment="1" applyProtection="1">
      <alignment horizontal="center"/>
      <protection hidden="1"/>
    </xf>
    <xf numFmtId="179" fontId="1" fillId="0" borderId="23" xfId="0" applyNumberFormat="1" applyFont="1" applyBorder="1" applyAlignment="1" applyProtection="1">
      <alignment horizontal="center"/>
      <protection hidden="1"/>
    </xf>
    <xf numFmtId="10" fontId="1" fillId="0" borderId="47" xfId="22" applyNumberFormat="1" applyFont="1" applyBorder="1" applyAlignment="1" applyProtection="1">
      <alignment horizontal="center"/>
      <protection hidden="1"/>
    </xf>
    <xf numFmtId="178" fontId="1" fillId="2" borderId="4" xfId="0" applyNumberFormat="1" applyFont="1" applyFill="1" applyBorder="1" applyAlignment="1" applyProtection="1">
      <alignment horizontal="center"/>
      <protection hidden="1" locked="0"/>
    </xf>
    <xf numFmtId="178" fontId="1" fillId="2" borderId="1" xfId="0" applyNumberFormat="1" applyFont="1" applyFill="1" applyBorder="1" applyAlignment="1" applyProtection="1">
      <alignment horizontal="center"/>
      <protection hidden="1" locked="0"/>
    </xf>
    <xf numFmtId="180" fontId="1" fillId="0" borderId="32" xfId="22" applyNumberFormat="1" applyFont="1" applyFill="1" applyBorder="1" applyAlignment="1" applyProtection="1">
      <alignment horizontal="center"/>
      <protection hidden="1"/>
    </xf>
    <xf numFmtId="178" fontId="1" fillId="2" borderId="5" xfId="0" applyNumberFormat="1" applyFont="1" applyFill="1" applyBorder="1" applyAlignment="1" applyProtection="1">
      <alignment horizontal="center"/>
      <protection hidden="1" locked="0"/>
    </xf>
    <xf numFmtId="178" fontId="1" fillId="2" borderId="6" xfId="0" applyNumberFormat="1" applyFont="1" applyFill="1" applyBorder="1" applyAlignment="1" applyProtection="1">
      <alignment horizontal="center"/>
      <protection hidden="1" locked="0"/>
    </xf>
    <xf numFmtId="178" fontId="1" fillId="2" borderId="17" xfId="0" applyNumberFormat="1" applyFont="1" applyFill="1" applyBorder="1" applyAlignment="1" applyProtection="1">
      <alignment horizontal="center"/>
      <protection hidden="1" locked="0"/>
    </xf>
    <xf numFmtId="179" fontId="1" fillId="0" borderId="53" xfId="0" applyNumberFormat="1" applyFont="1" applyBorder="1" applyAlignment="1" applyProtection="1">
      <alignment horizontal="center"/>
      <protection hidden="1"/>
    </xf>
    <xf numFmtId="179" fontId="1" fillId="0" borderId="11" xfId="0" applyNumberFormat="1" applyFont="1" applyBorder="1" applyAlignment="1" applyProtection="1">
      <alignment horizontal="center"/>
      <protection hidden="1"/>
    </xf>
    <xf numFmtId="10" fontId="1" fillId="0" borderId="53" xfId="22" applyNumberFormat="1" applyFont="1" applyBorder="1" applyAlignment="1" applyProtection="1">
      <alignment horizontal="center"/>
      <protection hidden="1"/>
    </xf>
    <xf numFmtId="0" fontId="35" fillId="3" borderId="30" xfId="0" applyFont="1" applyFill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180" fontId="1" fillId="0" borderId="17" xfId="22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79" fontId="1" fillId="0" borderId="9" xfId="0" applyNumberFormat="1" applyFont="1" applyBorder="1" applyAlignment="1" applyProtection="1">
      <alignment horizontal="center"/>
      <protection hidden="1"/>
    </xf>
    <xf numFmtId="10" fontId="1" fillId="0" borderId="9" xfId="22" applyNumberFormat="1" applyFont="1" applyBorder="1" applyAlignment="1" applyProtection="1">
      <alignment horizontal="center"/>
      <protection hidden="1"/>
    </xf>
    <xf numFmtId="0" fontId="35" fillId="0" borderId="7" xfId="0" applyFont="1" applyBorder="1" applyAlignment="1" applyProtection="1">
      <alignment/>
      <protection hidden="1"/>
    </xf>
    <xf numFmtId="0" fontId="35" fillId="0" borderId="19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 horizontal="right"/>
      <protection hidden="1"/>
    </xf>
    <xf numFmtId="0" fontId="1" fillId="2" borderId="9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right"/>
      <protection hidden="1"/>
    </xf>
    <xf numFmtId="180" fontId="1" fillId="0" borderId="11" xfId="22" applyNumberFormat="1" applyFont="1" applyBorder="1" applyAlignment="1" applyProtection="1">
      <alignment horizontal="center"/>
      <protection hidden="1"/>
    </xf>
    <xf numFmtId="0" fontId="35" fillId="0" borderId="8" xfId="0" applyFont="1" applyBorder="1" applyAlignment="1" applyProtection="1">
      <alignment/>
      <protection hidden="1"/>
    </xf>
    <xf numFmtId="0" fontId="35" fillId="0" borderId="30" xfId="0" applyFont="1" applyBorder="1" applyAlignment="1" applyProtection="1">
      <alignment/>
      <protection hidden="1"/>
    </xf>
    <xf numFmtId="0" fontId="35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180" fontId="1" fillId="0" borderId="9" xfId="22" applyNumberFormat="1" applyFont="1" applyBorder="1" applyAlignment="1" applyProtection="1">
      <alignment horizontal="center"/>
      <protection hidden="1"/>
    </xf>
    <xf numFmtId="10" fontId="1" fillId="2" borderId="10" xfId="22" applyNumberFormat="1" applyFont="1" applyFill="1" applyBorder="1" applyAlignment="1" applyProtection="1">
      <alignment/>
      <protection hidden="1" locked="0"/>
    </xf>
    <xf numFmtId="0" fontId="1" fillId="3" borderId="18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 quotePrefix="1">
      <alignment horizontal="center"/>
      <protection hidden="1"/>
    </xf>
    <xf numFmtId="179" fontId="1" fillId="0" borderId="63" xfId="0" applyNumberFormat="1" applyFont="1" applyBorder="1" applyAlignment="1" applyProtection="1">
      <alignment horizontal="center"/>
      <protection hidden="1"/>
    </xf>
    <xf numFmtId="10" fontId="1" fillId="0" borderId="59" xfId="22" applyNumberFormat="1" applyFont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29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178" fontId="1" fillId="2" borderId="26" xfId="0" applyNumberFormat="1" applyFont="1" applyFill="1" applyBorder="1" applyAlignment="1" applyProtection="1">
      <alignment horizontal="center"/>
      <protection hidden="1" locked="0"/>
    </xf>
    <xf numFmtId="178" fontId="1" fillId="2" borderId="27" xfId="0" applyNumberFormat="1" applyFont="1" applyFill="1" applyBorder="1" applyAlignment="1" applyProtection="1">
      <alignment horizontal="center"/>
      <protection hidden="1" locked="0"/>
    </xf>
    <xf numFmtId="178" fontId="1" fillId="2" borderId="28" xfId="0" applyNumberFormat="1" applyFont="1" applyFill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/>
    </xf>
    <xf numFmtId="178" fontId="1" fillId="0" borderId="35" xfId="0" applyNumberFormat="1" applyFont="1" applyBorder="1" applyAlignment="1" applyProtection="1">
      <alignment horizontal="center"/>
      <protection hidden="1"/>
    </xf>
    <xf numFmtId="179" fontId="1" fillId="0" borderId="3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178" fontId="1" fillId="0" borderId="37" xfId="0" applyNumberFormat="1" applyFont="1" applyBorder="1" applyAlignment="1" applyProtection="1">
      <alignment horizontal="center"/>
      <protection hidden="1"/>
    </xf>
    <xf numFmtId="179" fontId="1" fillId="0" borderId="6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80" fontId="0" fillId="0" borderId="0" xfId="22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33" xfId="0" applyFont="1" applyFill="1" applyBorder="1" applyAlignment="1" applyProtection="1">
      <alignment horizontal="center"/>
      <protection hidden="1"/>
    </xf>
    <xf numFmtId="10" fontId="1" fillId="0" borderId="10" xfId="22" applyNumberFormat="1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52" xfId="0" applyFont="1" applyFill="1" applyBorder="1" applyAlignment="1" applyProtection="1">
      <alignment horizontal="center"/>
      <protection hidden="1"/>
    </xf>
    <xf numFmtId="0" fontId="1" fillId="0" borderId="53" xfId="0" applyFont="1" applyFill="1" applyBorder="1" applyAlignment="1" applyProtection="1">
      <alignment horizontal="center"/>
      <protection hidden="1"/>
    </xf>
    <xf numFmtId="0" fontId="1" fillId="0" borderId="51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center"/>
      <protection hidden="1"/>
    </xf>
    <xf numFmtId="180" fontId="1" fillId="0" borderId="41" xfId="22" applyNumberFormat="1" applyFont="1" applyBorder="1" applyAlignment="1" applyProtection="1">
      <alignment horizontal="center"/>
      <protection hidden="1"/>
    </xf>
    <xf numFmtId="185" fontId="1" fillId="2" borderId="1" xfId="0" applyNumberFormat="1" applyFont="1" applyFill="1" applyBorder="1" applyAlignment="1" applyProtection="1">
      <alignment horizontal="center"/>
      <protection hidden="1" locked="0"/>
    </xf>
    <xf numFmtId="180" fontId="1" fillId="0" borderId="1" xfId="22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80" fontId="0" fillId="0" borderId="0" xfId="22" applyNumberFormat="1" applyAlignment="1" applyProtection="1">
      <alignment/>
      <protection hidden="1"/>
    </xf>
    <xf numFmtId="180" fontId="0" fillId="0" borderId="1" xfId="0" applyNumberFormat="1" applyBorder="1" applyAlignment="1" applyProtection="1">
      <alignment/>
      <protection hidden="1"/>
    </xf>
    <xf numFmtId="10" fontId="0" fillId="0" borderId="1" xfId="0" applyNumberFormat="1" applyBorder="1" applyAlignment="1" applyProtection="1">
      <alignment/>
      <protection hidden="1"/>
    </xf>
    <xf numFmtId="10" fontId="0" fillId="0" borderId="0" xfId="22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0" fontId="0" fillId="0" borderId="64" xfId="22" applyNumberFormat="1" applyBorder="1" applyAlignment="1" applyProtection="1">
      <alignment/>
      <protection hidden="1"/>
    </xf>
    <xf numFmtId="9" fontId="0" fillId="0" borderId="0" xfId="22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10" fontId="0" fillId="3" borderId="25" xfId="0" applyNumberForma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44" fontId="0" fillId="3" borderId="9" xfId="17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0" fontId="0" fillId="2" borderId="23" xfId="22" applyNumberFormat="1" applyFill="1" applyBorder="1" applyAlignment="1" applyProtection="1">
      <alignment horizontal="center"/>
      <protection hidden="1" locked="0"/>
    </xf>
    <xf numFmtId="0" fontId="0" fillId="2" borderId="9" xfId="0" applyFill="1" applyBorder="1" applyAlignment="1" applyProtection="1">
      <alignment horizontal="center"/>
      <protection hidden="1" locked="0"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78" fontId="0" fillId="2" borderId="2" xfId="0" applyNumberFormat="1" applyFill="1" applyBorder="1" applyAlignment="1" applyProtection="1">
      <alignment horizontal="center"/>
      <protection hidden="1" locked="0"/>
    </xf>
    <xf numFmtId="178" fontId="0" fillId="2" borderId="3" xfId="0" applyNumberFormat="1" applyFill="1" applyBorder="1" applyAlignment="1" applyProtection="1">
      <alignment horizontal="center"/>
      <protection hidden="1" locked="0"/>
    </xf>
    <xf numFmtId="178" fontId="0" fillId="2" borderId="16" xfId="0" applyNumberFormat="1" applyFill="1" applyBorder="1" applyAlignment="1" applyProtection="1">
      <alignment horizontal="center"/>
      <protection hidden="1" locked="0"/>
    </xf>
    <xf numFmtId="0" fontId="0" fillId="0" borderId="43" xfId="0" applyBorder="1" applyAlignment="1" applyProtection="1">
      <alignment horizontal="center"/>
      <protection hidden="1"/>
    </xf>
    <xf numFmtId="178" fontId="0" fillId="2" borderId="4" xfId="0" applyNumberFormat="1" applyFill="1" applyBorder="1" applyAlignment="1" applyProtection="1">
      <alignment horizontal="center"/>
      <protection hidden="1" locked="0"/>
    </xf>
    <xf numFmtId="178" fontId="0" fillId="2" borderId="1" xfId="0" applyNumberFormat="1" applyFill="1" applyBorder="1" applyAlignment="1" applyProtection="1">
      <alignment horizontal="center"/>
      <protection hidden="1" locked="0"/>
    </xf>
    <xf numFmtId="178" fontId="0" fillId="2" borderId="32" xfId="0" applyNumberFormat="1" applyFill="1" applyBorder="1" applyAlignment="1" applyProtection="1">
      <alignment horizontal="center"/>
      <protection hidden="1" locked="0"/>
    </xf>
    <xf numFmtId="178" fontId="0" fillId="0" borderId="4" xfId="0" applyNumberFormat="1" applyFill="1" applyBorder="1" applyAlignment="1" applyProtection="1">
      <alignment horizontal="center"/>
      <protection hidden="1"/>
    </xf>
    <xf numFmtId="178" fontId="0" fillId="0" borderId="1" xfId="0" applyNumberFormat="1" applyFill="1" applyBorder="1" applyAlignment="1" applyProtection="1">
      <alignment horizontal="center"/>
      <protection hidden="1"/>
    </xf>
    <xf numFmtId="178" fontId="0" fillId="0" borderId="32" xfId="0" applyNumberFormat="1" applyFill="1" applyBorder="1" applyAlignment="1" applyProtection="1">
      <alignment horizontal="center"/>
      <protection hidden="1"/>
    </xf>
    <xf numFmtId="179" fontId="0" fillId="0" borderId="4" xfId="0" applyNumberFormat="1" applyBorder="1" applyAlignment="1" applyProtection="1">
      <alignment horizontal="center"/>
      <protection hidden="1"/>
    </xf>
    <xf numFmtId="179" fontId="0" fillId="0" borderId="1" xfId="0" applyNumberFormat="1" applyBorder="1" applyAlignment="1" applyProtection="1">
      <alignment horizontal="center"/>
      <protection hidden="1"/>
    </xf>
    <xf numFmtId="179" fontId="0" fillId="0" borderId="32" xfId="0" applyNumberFormat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 locked="0"/>
    </xf>
    <xf numFmtId="0" fontId="0" fillId="2" borderId="1" xfId="0" applyFill="1" applyBorder="1" applyAlignment="1" applyProtection="1">
      <alignment horizontal="center"/>
      <protection hidden="1" locked="0"/>
    </xf>
    <xf numFmtId="0" fontId="0" fillId="2" borderId="32" xfId="0" applyFill="1" applyBorder="1" applyAlignment="1" applyProtection="1">
      <alignment horizontal="center"/>
      <protection hidden="1" locked="0"/>
    </xf>
    <xf numFmtId="2" fontId="0" fillId="0" borderId="4" xfId="0" applyNumberForma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 locked="0"/>
    </xf>
    <xf numFmtId="0" fontId="0" fillId="2" borderId="27" xfId="0" applyFill="1" applyBorder="1" applyAlignment="1" applyProtection="1">
      <alignment horizontal="center"/>
      <protection hidden="1" locked="0"/>
    </xf>
    <xf numFmtId="0" fontId="0" fillId="2" borderId="28" xfId="0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78" fontId="0" fillId="2" borderId="35" xfId="0" applyNumberForma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/>
    </xf>
    <xf numFmtId="178" fontId="0" fillId="2" borderId="38" xfId="0" applyNumberFormat="1" applyFill="1" applyBorder="1" applyAlignment="1" applyProtection="1">
      <alignment horizontal="center"/>
      <protection hidden="1" locked="0"/>
    </xf>
    <xf numFmtId="178" fontId="0" fillId="0" borderId="38" xfId="0" applyNumberFormat="1" applyBorder="1" applyAlignment="1" applyProtection="1">
      <alignment horizontal="center"/>
      <protection hidden="1"/>
    </xf>
    <xf numFmtId="178" fontId="0" fillId="0" borderId="1" xfId="0" applyNumberFormat="1" applyBorder="1" applyAlignment="1" applyProtection="1">
      <alignment horizontal="center"/>
      <protection hidden="1"/>
    </xf>
    <xf numFmtId="178" fontId="0" fillId="0" borderId="32" xfId="0" applyNumberFormat="1" applyBorder="1" applyAlignment="1" applyProtection="1">
      <alignment horizontal="center"/>
      <protection hidden="1"/>
    </xf>
    <xf numFmtId="2" fontId="0" fillId="0" borderId="38" xfId="0" applyNumberFormat="1" applyBorder="1" applyAlignment="1" applyProtection="1">
      <alignment horizontal="center"/>
      <protection hidden="1"/>
    </xf>
    <xf numFmtId="2" fontId="0" fillId="0" borderId="37" xfId="0" applyNumberFormat="1" applyBorder="1" applyAlignment="1" applyProtection="1">
      <alignment horizontal="center"/>
      <protection hidden="1"/>
    </xf>
    <xf numFmtId="178" fontId="0" fillId="0" borderId="4" xfId="0" applyNumberFormat="1" applyBorder="1" applyAlignment="1" applyProtection="1">
      <alignment horizontal="center"/>
      <protection hidden="1"/>
    </xf>
    <xf numFmtId="178" fontId="0" fillId="0" borderId="48" xfId="0" applyNumberFormat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2" borderId="6" xfId="0" applyFill="1" applyBorder="1" applyAlignment="1" applyProtection="1">
      <alignment horizontal="center"/>
      <protection hidden="1" locked="0"/>
    </xf>
    <xf numFmtId="0" fontId="0" fillId="2" borderId="17" xfId="0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" fontId="0" fillId="0" borderId="23" xfId="0" applyNumberFormat="1" applyBorder="1" applyAlignment="1" applyProtection="1">
      <alignment/>
      <protection hidden="1"/>
    </xf>
    <xf numFmtId="1" fontId="0" fillId="0" borderId="65" xfId="0" applyNumberFormat="1" applyBorder="1" applyAlignment="1" applyProtection="1">
      <alignment/>
      <protection hidden="1"/>
    </xf>
    <xf numFmtId="180" fontId="0" fillId="0" borderId="9" xfId="22" applyNumberFormat="1" applyBorder="1" applyAlignment="1" applyProtection="1">
      <alignment/>
      <protection hidden="1"/>
    </xf>
    <xf numFmtId="180" fontId="0" fillId="0" borderId="0" xfId="22" applyNumberFormat="1" applyBorder="1" applyAlignment="1" applyProtection="1">
      <alignment/>
      <protection hidden="1"/>
    </xf>
    <xf numFmtId="0" fontId="0" fillId="5" borderId="7" xfId="0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19" xfId="0" applyFill="1" applyBorder="1" applyAlignment="1" applyProtection="1">
      <alignment/>
      <protection hidden="1"/>
    </xf>
    <xf numFmtId="0" fontId="0" fillId="6" borderId="18" xfId="0" applyFill="1" applyBorder="1" applyAlignment="1" applyProtection="1">
      <alignment/>
      <protection hidden="1"/>
    </xf>
    <xf numFmtId="0" fontId="0" fillId="6" borderId="2" xfId="0" applyFill="1" applyBorder="1" applyAlignment="1" applyProtection="1">
      <alignment horizontal="center"/>
      <protection hidden="1"/>
    </xf>
    <xf numFmtId="179" fontId="0" fillId="6" borderId="3" xfId="0" applyNumberForma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179" fontId="0" fillId="6" borderId="16" xfId="0" applyNumberForma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3" xfId="0" applyFill="1" applyBorder="1" applyAlignment="1" applyProtection="1">
      <alignment/>
      <protection hidden="1"/>
    </xf>
    <xf numFmtId="0" fontId="0" fillId="6" borderId="4" xfId="0" applyFill="1" applyBorder="1" applyAlignment="1" applyProtection="1">
      <alignment horizontal="center"/>
      <protection hidden="1"/>
    </xf>
    <xf numFmtId="179" fontId="0" fillId="6" borderId="1" xfId="0" applyNumberForma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179" fontId="0" fillId="6" borderId="32" xfId="0" applyNumberFormat="1" applyFill="1" applyBorder="1" applyAlignment="1" applyProtection="1">
      <alignment horizontal="center"/>
      <protection hidden="1"/>
    </xf>
    <xf numFmtId="0" fontId="0" fillId="6" borderId="49" xfId="0" applyFill="1" applyBorder="1" applyAlignment="1" applyProtection="1">
      <alignment horizontal="center"/>
      <protection hidden="1"/>
    </xf>
    <xf numFmtId="179" fontId="0" fillId="6" borderId="58" xfId="0" applyNumberFormat="1" applyFill="1" applyBorder="1" applyAlignment="1" applyProtection="1">
      <alignment horizontal="center"/>
      <protection hidden="1"/>
    </xf>
    <xf numFmtId="0" fontId="0" fillId="6" borderId="58" xfId="0" applyFill="1" applyBorder="1" applyAlignment="1" applyProtection="1">
      <alignment horizontal="center"/>
      <protection hidden="1"/>
    </xf>
    <xf numFmtId="179" fontId="0" fillId="6" borderId="50" xfId="0" applyNumberFormat="1" applyFill="1" applyBorder="1" applyAlignment="1" applyProtection="1">
      <alignment horizontal="center"/>
      <protection hidden="1"/>
    </xf>
    <xf numFmtId="0" fontId="0" fillId="6" borderId="31" xfId="0" applyFill="1" applyBorder="1" applyAlignment="1" applyProtection="1">
      <alignment/>
      <protection hidden="1"/>
    </xf>
    <xf numFmtId="179" fontId="0" fillId="6" borderId="54" xfId="0" applyNumberFormat="1" applyFill="1" applyBorder="1" applyAlignment="1" applyProtection="1">
      <alignment horizontal="center"/>
      <protection hidden="1"/>
    </xf>
    <xf numFmtId="0" fontId="0" fillId="6" borderId="54" xfId="0" applyFill="1" applyBorder="1" applyAlignment="1" applyProtection="1">
      <alignment/>
      <protection hidden="1"/>
    </xf>
    <xf numFmtId="179" fontId="0" fillId="6" borderId="55" xfId="0" applyNumberFormat="1" applyFill="1" applyBorder="1" applyAlignment="1" applyProtection="1">
      <alignment horizontal="center"/>
      <protection hidden="1"/>
    </xf>
    <xf numFmtId="0" fontId="0" fillId="6" borderId="51" xfId="0" applyFill="1" applyBorder="1" applyAlignment="1" applyProtection="1">
      <alignment/>
      <protection hidden="1"/>
    </xf>
    <xf numFmtId="0" fontId="0" fillId="6" borderId="52" xfId="0" applyFill="1" applyBorder="1" applyAlignment="1" applyProtection="1">
      <alignment/>
      <protection hidden="1"/>
    </xf>
    <xf numFmtId="0" fontId="0" fillId="6" borderId="53" xfId="0" applyFill="1" applyBorder="1" applyAlignment="1" applyProtection="1">
      <alignment horizontal="right"/>
      <protection hidden="1"/>
    </xf>
    <xf numFmtId="0" fontId="0" fillId="6" borderId="15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0" fillId="6" borderId="19" xfId="0" applyFill="1" applyBorder="1" applyAlignment="1" applyProtection="1">
      <alignment horizontal="right"/>
      <protection hidden="1"/>
    </xf>
    <xf numFmtId="0" fontId="0" fillId="6" borderId="31" xfId="0" applyFill="1" applyBorder="1" applyAlignment="1" applyProtection="1">
      <alignment horizontal="center"/>
      <protection hidden="1"/>
    </xf>
    <xf numFmtId="0" fontId="0" fillId="6" borderId="54" xfId="0" applyFill="1" applyBorder="1" applyAlignment="1" applyProtection="1">
      <alignment horizontal="center"/>
      <protection hidden="1"/>
    </xf>
    <xf numFmtId="0" fontId="0" fillId="6" borderId="55" xfId="0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left"/>
      <protection hidden="1"/>
    </xf>
    <xf numFmtId="2" fontId="0" fillId="6" borderId="40" xfId="0" applyNumberFormat="1" applyFill="1" applyBorder="1" applyAlignment="1" applyProtection="1">
      <alignment horizontal="center"/>
      <protection hidden="1"/>
    </xf>
    <xf numFmtId="2" fontId="0" fillId="6" borderId="41" xfId="0" applyNumberFormat="1" applyFill="1" applyBorder="1" applyAlignment="1" applyProtection="1">
      <alignment horizontal="center"/>
      <protection hidden="1"/>
    </xf>
    <xf numFmtId="2" fontId="0" fillId="6" borderId="42" xfId="0" applyNumberFormat="1" applyFill="1" applyBorder="1" applyAlignment="1" applyProtection="1">
      <alignment horizontal="center"/>
      <protection hidden="1"/>
    </xf>
    <xf numFmtId="178" fontId="0" fillId="6" borderId="4" xfId="0" applyNumberFormat="1" applyFill="1" applyBorder="1" applyAlignment="1" applyProtection="1">
      <alignment horizontal="center"/>
      <protection hidden="1"/>
    </xf>
    <xf numFmtId="178" fontId="0" fillId="6" borderId="1" xfId="0" applyNumberFormat="1" applyFill="1" applyBorder="1" applyAlignment="1" applyProtection="1">
      <alignment horizontal="center"/>
      <protection hidden="1"/>
    </xf>
    <xf numFmtId="178" fontId="0" fillId="6" borderId="32" xfId="0" applyNumberFormat="1" applyFill="1" applyBorder="1" applyAlignment="1" applyProtection="1">
      <alignment horizontal="center"/>
      <protection hidden="1"/>
    </xf>
    <xf numFmtId="178" fontId="0" fillId="6" borderId="5" xfId="0" applyNumberFormat="1" applyFill="1" applyBorder="1" applyAlignment="1" applyProtection="1">
      <alignment horizontal="center"/>
      <protection hidden="1"/>
    </xf>
    <xf numFmtId="178" fontId="0" fillId="6" borderId="6" xfId="0" applyNumberFormat="1" applyFill="1" applyBorder="1" applyAlignment="1" applyProtection="1">
      <alignment horizontal="center"/>
      <protection hidden="1"/>
    </xf>
    <xf numFmtId="178" fontId="0" fillId="6" borderId="17" xfId="0" applyNumberFormat="1" applyFill="1" applyBorder="1" applyAlignment="1" applyProtection="1">
      <alignment horizontal="center"/>
      <protection hidden="1"/>
    </xf>
    <xf numFmtId="0" fontId="0" fillId="6" borderId="52" xfId="0" applyFill="1" applyBorder="1" applyAlignment="1" applyProtection="1">
      <alignment horizontal="left"/>
      <protection hidden="1"/>
    </xf>
    <xf numFmtId="0" fontId="0" fillId="6" borderId="53" xfId="0" applyFill="1" applyBorder="1" applyAlignment="1" applyProtection="1">
      <alignment/>
      <protection hidden="1"/>
    </xf>
    <xf numFmtId="44" fontId="17" fillId="3" borderId="25" xfId="17" applyFont="1" applyFill="1" applyBorder="1" applyAlignment="1" applyProtection="1">
      <alignment horizontal="right"/>
      <protection hidden="1"/>
    </xf>
    <xf numFmtId="10" fontId="17" fillId="2" borderId="23" xfId="22" applyNumberFormat="1" applyFont="1" applyFill="1" applyBorder="1" applyAlignment="1" applyProtection="1">
      <alignment horizontal="right"/>
      <protection hidden="1" locked="0"/>
    </xf>
    <xf numFmtId="178" fontId="9" fillId="2" borderId="20" xfId="21" applyNumberFormat="1" applyFont="1" applyFill="1" applyBorder="1" applyAlignment="1" applyProtection="1" quotePrefix="1">
      <alignment horizontal="center"/>
      <protection hidden="1" locked="0"/>
    </xf>
    <xf numFmtId="178" fontId="9" fillId="2" borderId="22" xfId="21" applyNumberFormat="1" applyFont="1" applyFill="1" applyBorder="1" applyAlignment="1" applyProtection="1" quotePrefix="1">
      <alignment horizontal="center"/>
      <protection hidden="1" locked="0"/>
    </xf>
    <xf numFmtId="178" fontId="9" fillId="2" borderId="21" xfId="21" applyNumberFormat="1" applyFont="1" applyFill="1" applyBorder="1" applyAlignment="1" applyProtection="1" quotePrefix="1">
      <alignment horizontal="center"/>
      <protection hidden="1" locked="0"/>
    </xf>
    <xf numFmtId="1" fontId="9" fillId="2" borderId="47" xfId="21" applyNumberFormat="1" applyFont="1" applyFill="1" applyBorder="1" applyAlignment="1" applyProtection="1" quotePrefix="1">
      <alignment horizontal="center"/>
      <protection hidden="1" locked="0"/>
    </xf>
    <xf numFmtId="1" fontId="9" fillId="2" borderId="48" xfId="21" applyNumberFormat="1" applyFont="1" applyFill="1" applyBorder="1" applyAlignment="1" applyProtection="1" quotePrefix="1">
      <alignment horizontal="center"/>
      <protection hidden="1" locked="0"/>
    </xf>
    <xf numFmtId="178" fontId="9" fillId="2" borderId="57" xfId="21" applyNumberFormat="1" applyFont="1" applyFill="1" applyBorder="1" applyAlignment="1" applyProtection="1" quotePrefix="1">
      <alignment horizontal="center"/>
      <protection hidden="1" locked="0"/>
    </xf>
    <xf numFmtId="186" fontId="1" fillId="0" borderId="22" xfId="0" applyNumberFormat="1" applyFont="1" applyFill="1" applyBorder="1" applyAlignment="1" applyProtection="1">
      <alignment horizontal="center"/>
      <protection hidden="1"/>
    </xf>
    <xf numFmtId="1" fontId="1" fillId="2" borderId="38" xfId="0" applyNumberFormat="1" applyFont="1" applyFill="1" applyBorder="1" applyAlignment="1" applyProtection="1">
      <alignment horizontal="center"/>
      <protection hidden="1" locked="0"/>
    </xf>
    <xf numFmtId="178" fontId="1" fillId="2" borderId="66" xfId="0" applyNumberFormat="1" applyFont="1" applyFill="1" applyBorder="1" applyAlignment="1" applyProtection="1">
      <alignment horizontal="center"/>
      <protection hidden="1" locked="0"/>
    </xf>
    <xf numFmtId="0" fontId="1" fillId="5" borderId="15" xfId="0" applyFont="1" applyFill="1" applyBorder="1" applyAlignment="1" applyProtection="1">
      <alignment horizontal="center"/>
      <protection hidden="1"/>
    </xf>
    <xf numFmtId="180" fontId="1" fillId="5" borderId="0" xfId="22" applyNumberFormat="1" applyFont="1" applyFill="1" applyBorder="1" applyAlignment="1" applyProtection="1">
      <alignment horizontal="center"/>
      <protection hidden="1"/>
    </xf>
    <xf numFmtId="185" fontId="1" fillId="5" borderId="0" xfId="0" applyNumberFormat="1" applyFont="1" applyFill="1" applyBorder="1" applyAlignment="1" applyProtection="1">
      <alignment horizontal="center"/>
      <protection hidden="1"/>
    </xf>
    <xf numFmtId="179" fontId="1" fillId="5" borderId="0" xfId="0" applyNumberFormat="1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10" fontId="1" fillId="5" borderId="0" xfId="22" applyNumberFormat="1" applyFont="1" applyFill="1" applyBorder="1" applyAlignment="1" applyProtection="1">
      <alignment horizontal="center"/>
      <protection hidden="1"/>
    </xf>
    <xf numFmtId="2" fontId="1" fillId="5" borderId="0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Border="1" applyAlignment="1" applyProtection="1">
      <alignment horizontal="center"/>
      <protection hidden="1"/>
    </xf>
    <xf numFmtId="1" fontId="0" fillId="5" borderId="0" xfId="0" applyNumberFormat="1" applyFill="1" applyBorder="1" applyAlignment="1" applyProtection="1">
      <alignment/>
      <protection hidden="1"/>
    </xf>
    <xf numFmtId="2" fontId="0" fillId="5" borderId="0" xfId="0" applyNumberFormat="1" applyFill="1" applyBorder="1" applyAlignment="1" applyProtection="1">
      <alignment/>
      <protection hidden="1"/>
    </xf>
    <xf numFmtId="178" fontId="1" fillId="5" borderId="0" xfId="0" applyNumberFormat="1" applyFont="1" applyFill="1" applyBorder="1" applyAlignment="1" applyProtection="1">
      <alignment horizontal="center"/>
      <protection hidden="1"/>
    </xf>
    <xf numFmtId="178" fontId="0" fillId="5" borderId="33" xfId="0" applyNumberFormat="1" applyFill="1" applyBorder="1" applyAlignment="1" applyProtection="1">
      <alignment/>
      <protection hidden="1"/>
    </xf>
    <xf numFmtId="0" fontId="28" fillId="5" borderId="7" xfId="0" applyFont="1" applyFill="1" applyBorder="1" applyAlignment="1" applyProtection="1">
      <alignment horizontal="left"/>
      <protection hidden="1"/>
    </xf>
    <xf numFmtId="0" fontId="0" fillId="5" borderId="67" xfId="0" applyFont="1" applyFill="1" applyBorder="1" applyAlignment="1" applyProtection="1">
      <alignment horizontal="fill"/>
      <protection hidden="1"/>
    </xf>
    <xf numFmtId="0" fontId="23" fillId="5" borderId="19" xfId="0" applyFont="1" applyFill="1" applyBorder="1" applyAlignment="1" applyProtection="1">
      <alignment horizontal="left"/>
      <protection hidden="1"/>
    </xf>
    <xf numFmtId="0" fontId="0" fillId="5" borderId="19" xfId="0" applyFont="1" applyFill="1" applyBorder="1" applyAlignment="1" applyProtection="1">
      <alignment horizontal="fill"/>
      <protection hidden="1"/>
    </xf>
    <xf numFmtId="10" fontId="0" fillId="5" borderId="19" xfId="22" applyNumberFormat="1" applyFill="1" applyBorder="1" applyAlignment="1" applyProtection="1">
      <alignment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/>
      <protection hidden="1"/>
    </xf>
    <xf numFmtId="0" fontId="1" fillId="5" borderId="51" xfId="0" applyFont="1" applyFill="1" applyBorder="1" applyAlignment="1" applyProtection="1">
      <alignment horizontal="center"/>
      <protection hidden="1"/>
    </xf>
    <xf numFmtId="180" fontId="1" fillId="5" borderId="52" xfId="22" applyNumberFormat="1" applyFont="1" applyFill="1" applyBorder="1" applyAlignment="1" applyProtection="1">
      <alignment horizontal="center"/>
      <protection hidden="1"/>
    </xf>
    <xf numFmtId="185" fontId="1" fillId="5" borderId="52" xfId="0" applyNumberFormat="1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Alignment="1" applyProtection="1">
      <alignment horizontal="center"/>
      <protection hidden="1"/>
    </xf>
    <xf numFmtId="10" fontId="1" fillId="5" borderId="52" xfId="22" applyNumberFormat="1" applyFont="1" applyFill="1" applyBorder="1" applyAlignment="1" applyProtection="1">
      <alignment horizontal="center"/>
      <protection hidden="1"/>
    </xf>
    <xf numFmtId="0" fontId="0" fillId="5" borderId="52" xfId="0" applyFill="1" applyBorder="1" applyAlignment="1" applyProtection="1">
      <alignment/>
      <protection hidden="1"/>
    </xf>
    <xf numFmtId="178" fontId="0" fillId="5" borderId="52" xfId="0" applyNumberFormat="1" applyFill="1" applyBorder="1" applyAlignment="1" applyProtection="1">
      <alignment/>
      <protection hidden="1"/>
    </xf>
    <xf numFmtId="0" fontId="0" fillId="5" borderId="53" xfId="0" applyFill="1" applyBorder="1" applyAlignment="1" applyProtection="1">
      <alignment/>
      <protection hidden="1"/>
    </xf>
    <xf numFmtId="0" fontId="7" fillId="0" borderId="22" xfId="0" applyFont="1" applyFill="1" applyBorder="1" applyAlignment="1" applyProtection="1">
      <alignment horizontal="left"/>
      <protection hidden="1"/>
    </xf>
    <xf numFmtId="0" fontId="7" fillId="0" borderId="66" xfId="0" applyFont="1" applyFill="1" applyBorder="1" applyAlignment="1" applyProtection="1">
      <alignment horizontal="left"/>
      <protection hidden="1"/>
    </xf>
    <xf numFmtId="0" fontId="7" fillId="0" borderId="48" xfId="0" applyFont="1" applyFill="1" applyBorder="1" applyAlignment="1" applyProtection="1">
      <alignment horizontal="left"/>
      <protection hidden="1"/>
    </xf>
    <xf numFmtId="0" fontId="9" fillId="0" borderId="68" xfId="21" applyFont="1" applyFill="1" applyBorder="1" applyAlignment="1" applyProtection="1" quotePrefix="1">
      <alignment horizontal="center"/>
      <protection hidden="1"/>
    </xf>
    <xf numFmtId="178" fontId="9" fillId="0" borderId="27" xfId="21" applyNumberFormat="1" applyFont="1" applyFill="1" applyBorder="1" applyAlignment="1" applyProtection="1" quotePrefix="1">
      <alignment horizontal="right"/>
      <protection hidden="1"/>
    </xf>
    <xf numFmtId="178" fontId="9" fillId="0" borderId="28" xfId="21" applyNumberFormat="1" applyFont="1" applyFill="1" applyBorder="1" applyAlignment="1" applyProtection="1" quotePrefix="1">
      <alignment horizontal="right"/>
      <protection hidden="1"/>
    </xf>
    <xf numFmtId="178" fontId="9" fillId="0" borderId="6" xfId="21" applyNumberFormat="1" applyFont="1" applyFill="1" applyBorder="1" applyAlignment="1" applyProtection="1" quotePrefix="1">
      <alignment horizontal="right"/>
      <protection hidden="1"/>
    </xf>
    <xf numFmtId="178" fontId="9" fillId="0" borderId="17" xfId="21" applyNumberFormat="1" applyFont="1" applyFill="1" applyBorder="1" applyAlignment="1" applyProtection="1" quotePrefix="1">
      <alignment horizontal="right"/>
      <protection hidden="1"/>
    </xf>
    <xf numFmtId="178" fontId="7" fillId="0" borderId="26" xfId="21" applyNumberFormat="1" applyFont="1" applyBorder="1" applyProtection="1">
      <alignment/>
      <protection hidden="1"/>
    </xf>
    <xf numFmtId="178" fontId="7" fillId="0" borderId="27" xfId="21" applyNumberFormat="1" applyFont="1" applyBorder="1" applyProtection="1">
      <alignment/>
      <protection hidden="1"/>
    </xf>
    <xf numFmtId="178" fontId="7" fillId="0" borderId="28" xfId="21" applyNumberFormat="1" applyFont="1" applyBorder="1" applyProtection="1">
      <alignment/>
      <protection hidden="1"/>
    </xf>
    <xf numFmtId="178" fontId="0" fillId="5" borderId="19" xfId="0" applyNumberFormat="1" applyFill="1" applyBorder="1" applyAlignment="1" applyProtection="1">
      <alignment/>
      <protection hidden="1"/>
    </xf>
    <xf numFmtId="178" fontId="0" fillId="0" borderId="38" xfId="0" applyNumberFormat="1" applyFill="1" applyBorder="1" applyAlignment="1" applyProtection="1">
      <alignment horizontal="center"/>
      <protection hidden="1"/>
    </xf>
    <xf numFmtId="179" fontId="0" fillId="0" borderId="38" xfId="0" applyNumberFormat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center"/>
      <protection hidden="1" locked="0"/>
    </xf>
    <xf numFmtId="9" fontId="9" fillId="2" borderId="10" xfId="22" applyFont="1" applyFill="1" applyBorder="1" applyAlignment="1" applyProtection="1">
      <alignment horizontal="center"/>
      <protection hidden="1" locked="0"/>
    </xf>
    <xf numFmtId="178" fontId="9" fillId="2" borderId="1" xfId="21" applyNumberFormat="1" applyFont="1" applyFill="1" applyBorder="1" applyAlignment="1" applyProtection="1">
      <alignment horizontal="center"/>
      <protection hidden="1" locked="0"/>
    </xf>
    <xf numFmtId="178" fontId="9" fillId="2" borderId="6" xfId="21" applyNumberFormat="1" applyFont="1" applyFill="1" applyBorder="1" applyAlignment="1" applyProtection="1">
      <alignment horizontal="center"/>
      <protection hidden="1" locked="0"/>
    </xf>
    <xf numFmtId="0" fontId="9" fillId="0" borderId="29" xfId="21" applyFont="1" applyFill="1" applyBorder="1" applyAlignment="1" applyProtection="1" quotePrefix="1">
      <alignment horizontal="right"/>
      <protection hidden="1"/>
    </xf>
    <xf numFmtId="0" fontId="9" fillId="0" borderId="8" xfId="21" applyFont="1" applyFill="1" applyBorder="1" applyAlignment="1" applyProtection="1">
      <alignment horizontal="center"/>
      <protection hidden="1"/>
    </xf>
    <xf numFmtId="0" fontId="9" fillId="0" borderId="29" xfId="21" applyFont="1" applyFill="1" applyBorder="1" applyAlignment="1" applyProtection="1">
      <alignment horizontal="center"/>
      <protection hidden="1"/>
    </xf>
    <xf numFmtId="0" fontId="40" fillId="3" borderId="7" xfId="21" applyFont="1" applyFill="1" applyBorder="1" applyAlignment="1" applyProtection="1">
      <alignment horizontal="center"/>
      <protection hidden="1"/>
    </xf>
    <xf numFmtId="0" fontId="40" fillId="3" borderId="19" xfId="21" applyFont="1" applyFill="1" applyBorder="1" applyAlignment="1" applyProtection="1">
      <alignment horizontal="center"/>
      <protection hidden="1"/>
    </xf>
    <xf numFmtId="0" fontId="11" fillId="0" borderId="29" xfId="21" applyFont="1" applyFill="1" applyBorder="1" applyAlignment="1" applyProtection="1">
      <alignment horizontal="center"/>
      <protection hidden="1"/>
    </xf>
    <xf numFmtId="0" fontId="9" fillId="0" borderId="8" xfId="21" applyFont="1" applyFill="1" applyBorder="1" applyAlignment="1" applyProtection="1" quotePrefix="1">
      <alignment horizontal="right"/>
      <protection hidden="1"/>
    </xf>
    <xf numFmtId="0" fontId="9" fillId="0" borderId="30" xfId="21" applyFont="1" applyFill="1" applyBorder="1" applyAlignment="1" applyProtection="1" quotePrefix="1">
      <alignment horizontal="right"/>
      <protection hidden="1"/>
    </xf>
    <xf numFmtId="14" fontId="15" fillId="2" borderId="8" xfId="0" applyNumberFormat="1" applyFont="1" applyFill="1" applyBorder="1" applyAlignment="1" applyProtection="1">
      <alignment horizontal="left"/>
      <protection locked="0"/>
    </xf>
    <xf numFmtId="0" fontId="15" fillId="2" borderId="30" xfId="0" applyFont="1" applyFill="1" applyBorder="1" applyAlignment="1" applyProtection="1">
      <alignment horizontal="left"/>
      <protection locked="0"/>
    </xf>
    <xf numFmtId="0" fontId="15" fillId="2" borderId="29" xfId="0" applyFont="1" applyFill="1" applyBorder="1" applyAlignment="1" applyProtection="1">
      <alignment horizontal="left"/>
      <protection locked="0"/>
    </xf>
    <xf numFmtId="0" fontId="15" fillId="4" borderId="8" xfId="0" applyFont="1" applyFill="1" applyBorder="1" applyAlignment="1" applyProtection="1">
      <alignment horizontal="right"/>
      <protection/>
    </xf>
    <xf numFmtId="0" fontId="15" fillId="4" borderId="30" xfId="0" applyFont="1" applyFill="1" applyBorder="1" applyAlignment="1" applyProtection="1">
      <alignment horizontal="right"/>
      <protection/>
    </xf>
    <xf numFmtId="0" fontId="15" fillId="4" borderId="29" xfId="0" applyFont="1" applyFill="1" applyBorder="1" applyAlignment="1" applyProtection="1">
      <alignment horizontal="right"/>
      <protection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30" xfId="0" applyFont="1" applyFill="1" applyBorder="1" applyAlignment="1" applyProtection="1">
      <alignment horizontal="center"/>
      <protection locked="0"/>
    </xf>
    <xf numFmtId="0" fontId="15" fillId="2" borderId="2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/>
    </xf>
    <xf numFmtId="0" fontId="6" fillId="0" borderId="8" xfId="21" applyFont="1" applyBorder="1" applyAlignment="1" applyProtection="1">
      <alignment horizontal="center"/>
      <protection/>
    </xf>
    <xf numFmtId="0" fontId="6" fillId="0" borderId="30" xfId="21" applyFont="1" applyBorder="1" applyAlignment="1" applyProtection="1">
      <alignment horizontal="center"/>
      <protection/>
    </xf>
    <xf numFmtId="0" fontId="6" fillId="0" borderId="29" xfId="21" applyFont="1" applyBorder="1" applyAlignment="1" applyProtection="1">
      <alignment horizontal="center"/>
      <protection/>
    </xf>
    <xf numFmtId="0" fontId="9" fillId="0" borderId="31" xfId="21" applyFont="1" applyFill="1" applyBorder="1" applyAlignment="1" applyProtection="1">
      <alignment horizontal="center"/>
      <protection hidden="1"/>
    </xf>
    <xf numFmtId="0" fontId="9" fillId="0" borderId="55" xfId="21" applyFont="1" applyFill="1" applyBorder="1" applyAlignment="1" applyProtection="1">
      <alignment horizontal="center"/>
      <protection hidden="1"/>
    </xf>
    <xf numFmtId="0" fontId="5" fillId="0" borderId="62" xfId="21" applyFont="1" applyBorder="1" applyAlignment="1" applyProtection="1">
      <alignment horizontal="center"/>
      <protection hidden="1"/>
    </xf>
    <xf numFmtId="0" fontId="5" fillId="0" borderId="0" xfId="21" applyFont="1" applyBorder="1" applyAlignment="1" applyProtection="1">
      <alignment horizontal="center"/>
      <protection hidden="1"/>
    </xf>
    <xf numFmtId="0" fontId="4" fillId="0" borderId="1" xfId="21" applyFont="1" applyFill="1" applyBorder="1" applyAlignment="1" applyProtection="1">
      <alignment horizontal="center"/>
      <protection hidden="1"/>
    </xf>
    <xf numFmtId="0" fontId="9" fillId="0" borderId="8" xfId="21" applyFont="1" applyFill="1" applyBorder="1" applyAlignment="1" applyProtection="1" quotePrefix="1">
      <alignment horizontal="center"/>
      <protection hidden="1"/>
    </xf>
    <xf numFmtId="0" fontId="9" fillId="0" borderId="30" xfId="21" applyFont="1" applyFill="1" applyBorder="1" applyAlignment="1" applyProtection="1" quotePrefix="1">
      <alignment horizontal="center"/>
      <protection hidden="1"/>
    </xf>
    <xf numFmtId="0" fontId="9" fillId="0" borderId="29" xfId="21" applyFont="1" applyFill="1" applyBorder="1" applyAlignment="1" applyProtection="1" quotePrefix="1">
      <alignment horizontal="center"/>
      <protection hidden="1"/>
    </xf>
    <xf numFmtId="0" fontId="11" fillId="0" borderId="8" xfId="21" applyFont="1" applyFill="1" applyBorder="1" applyAlignment="1" applyProtection="1">
      <alignment horizontal="center"/>
      <protection hidden="1"/>
    </xf>
    <xf numFmtId="0" fontId="11" fillId="0" borderId="30" xfId="21" applyFont="1" applyFill="1" applyBorder="1" applyAlignment="1" applyProtection="1">
      <alignment horizontal="center"/>
      <protection hidden="1"/>
    </xf>
    <xf numFmtId="0" fontId="40" fillId="3" borderId="18" xfId="21" applyFont="1" applyFill="1" applyBorder="1" applyAlignment="1" applyProtection="1">
      <alignment horizontal="center"/>
      <protection hidden="1"/>
    </xf>
    <xf numFmtId="0" fontId="40" fillId="3" borderId="51" xfId="21" applyFont="1" applyFill="1" applyBorder="1" applyAlignment="1" applyProtection="1">
      <alignment horizontal="center"/>
      <protection hidden="1"/>
    </xf>
    <xf numFmtId="0" fontId="40" fillId="3" borderId="52" xfId="21" applyFont="1" applyFill="1" applyBorder="1" applyAlignment="1" applyProtection="1">
      <alignment horizontal="center"/>
      <protection hidden="1"/>
    </xf>
    <xf numFmtId="0" fontId="40" fillId="3" borderId="53" xfId="21" applyFont="1" applyFill="1" applyBorder="1" applyAlignment="1" applyProtection="1">
      <alignment horizontal="center"/>
      <protection hidden="1"/>
    </xf>
    <xf numFmtId="0" fontId="9" fillId="0" borderId="51" xfId="21" applyFont="1" applyFill="1" applyBorder="1" applyAlignment="1" applyProtection="1">
      <alignment horizontal="center"/>
      <protection hidden="1"/>
    </xf>
    <xf numFmtId="0" fontId="9" fillId="0" borderId="53" xfId="21" applyFont="1" applyFill="1" applyBorder="1" applyAlignment="1" applyProtection="1">
      <alignment horizontal="center"/>
      <protection hidden="1"/>
    </xf>
    <xf numFmtId="0" fontId="15" fillId="0" borderId="7" xfId="0" applyFont="1" applyFill="1" applyBorder="1" applyAlignment="1" applyProtection="1">
      <alignment horizontal="center"/>
      <protection hidden="1"/>
    </xf>
    <xf numFmtId="0" fontId="15" fillId="0" borderId="19" xfId="0" applyFont="1" applyFill="1" applyBorder="1" applyAlignment="1" applyProtection="1">
      <alignment horizontal="center"/>
      <protection hidden="1"/>
    </xf>
    <xf numFmtId="0" fontId="15" fillId="0" borderId="18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3" fillId="0" borderId="7" xfId="21" applyFont="1" applyFill="1" applyBorder="1" applyAlignment="1" applyProtection="1">
      <alignment horizontal="center"/>
      <protection hidden="1"/>
    </xf>
    <xf numFmtId="0" fontId="13" fillId="0" borderId="18" xfId="21" applyFont="1" applyFill="1" applyBorder="1" applyAlignment="1" applyProtection="1">
      <alignment horizontal="center"/>
      <protection hidden="1"/>
    </xf>
    <xf numFmtId="0" fontId="11" fillId="3" borderId="8" xfId="21" applyFont="1" applyFill="1" applyBorder="1" applyAlignment="1" applyProtection="1">
      <alignment horizontal="center"/>
      <protection hidden="1"/>
    </xf>
    <xf numFmtId="0" fontId="11" fillId="3" borderId="30" xfId="21" applyFont="1" applyFill="1" applyBorder="1" applyAlignment="1" applyProtection="1">
      <alignment horizontal="center"/>
      <protection hidden="1"/>
    </xf>
    <xf numFmtId="0" fontId="11" fillId="3" borderId="29" xfId="21" applyFont="1" applyFill="1" applyBorder="1" applyAlignment="1" applyProtection="1">
      <alignment horizontal="center"/>
      <protection hidden="1"/>
    </xf>
    <xf numFmtId="0" fontId="13" fillId="3" borderId="8" xfId="21" applyFont="1" applyFill="1" applyBorder="1" applyAlignment="1" applyProtection="1">
      <alignment horizontal="center"/>
      <protection hidden="1"/>
    </xf>
    <xf numFmtId="0" fontId="13" fillId="3" borderId="29" xfId="21" applyFont="1" applyFill="1" applyBorder="1" applyAlignment="1" applyProtection="1" quotePrefix="1">
      <alignment horizontal="center"/>
      <protection hidden="1"/>
    </xf>
    <xf numFmtId="14" fontId="7" fillId="2" borderId="22" xfId="0" applyNumberFormat="1" applyFont="1" applyFill="1" applyBorder="1" applyAlignment="1" applyProtection="1">
      <alignment horizontal="left"/>
      <protection hidden="1" locked="0"/>
    </xf>
    <xf numFmtId="14" fontId="7" fillId="2" borderId="66" xfId="0" applyNumberFormat="1" applyFont="1" applyFill="1" applyBorder="1" applyAlignment="1" applyProtection="1">
      <alignment horizontal="left"/>
      <protection hidden="1" locked="0"/>
    </xf>
    <xf numFmtId="14" fontId="7" fillId="2" borderId="38" xfId="0" applyNumberFormat="1" applyFont="1" applyFill="1" applyBorder="1" applyAlignment="1" applyProtection="1">
      <alignment horizontal="left"/>
      <protection hidden="1" locked="0"/>
    </xf>
    <xf numFmtId="0" fontId="15" fillId="0" borderId="0" xfId="0" applyFont="1" applyFill="1" applyBorder="1" applyAlignment="1" applyProtection="1">
      <alignment horizontal="center"/>
      <protection hidden="1"/>
    </xf>
    <xf numFmtId="0" fontId="18" fillId="3" borderId="8" xfId="21" applyFont="1" applyFill="1" applyBorder="1" applyAlignment="1" applyProtection="1">
      <alignment horizontal="center"/>
      <protection hidden="1"/>
    </xf>
    <xf numFmtId="0" fontId="18" fillId="3" borderId="30" xfId="21" applyFont="1" applyFill="1" applyBorder="1" applyAlignment="1" applyProtection="1">
      <alignment horizontal="center"/>
      <protection hidden="1"/>
    </xf>
    <xf numFmtId="0" fontId="18" fillId="3" borderId="29" xfId="2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7" fillId="0" borderId="3" xfId="0" applyFont="1" applyFill="1" applyBorder="1" applyAlignment="1" applyProtection="1">
      <alignment horizontal="left"/>
      <protection hidden="1"/>
    </xf>
    <xf numFmtId="0" fontId="7" fillId="0" borderId="1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left"/>
      <protection hidden="1"/>
    </xf>
    <xf numFmtId="0" fontId="1" fillId="0" borderId="66" xfId="0" applyFont="1" applyBorder="1" applyAlignment="1" applyProtection="1">
      <alignment horizontal="left"/>
      <protection hidden="1"/>
    </xf>
    <xf numFmtId="0" fontId="1" fillId="0" borderId="48" xfId="0" applyFont="1" applyBorder="1" applyAlignment="1" applyProtection="1">
      <alignment horizontal="left"/>
      <protection hidden="1"/>
    </xf>
    <xf numFmtId="10" fontId="1" fillId="0" borderId="8" xfId="0" applyNumberFormat="1" applyFont="1" applyBorder="1" applyAlignment="1" applyProtection="1">
      <alignment horizontal="center"/>
      <protection hidden="1"/>
    </xf>
    <xf numFmtId="10" fontId="1" fillId="0" borderId="29" xfId="0" applyNumberFormat="1" applyFont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1" fillId="3" borderId="30" xfId="0" applyFont="1" applyFill="1" applyBorder="1" applyAlignment="1" applyProtection="1">
      <alignment horizontal="left"/>
      <protection hidden="1"/>
    </xf>
    <xf numFmtId="0" fontId="1" fillId="3" borderId="29" xfId="0" applyFont="1" applyFill="1" applyBorder="1" applyAlignment="1" applyProtection="1">
      <alignment horizontal="left"/>
      <protection hidden="1"/>
    </xf>
    <xf numFmtId="179" fontId="1" fillId="0" borderId="58" xfId="0" applyNumberFormat="1" applyFont="1" applyBorder="1" applyAlignment="1" applyProtection="1">
      <alignment horizontal="center" vertical="center"/>
      <protection hidden="1"/>
    </xf>
    <xf numFmtId="179" fontId="1" fillId="0" borderId="61" xfId="0" applyNumberFormat="1" applyFont="1" applyBorder="1" applyAlignment="1" applyProtection="1">
      <alignment horizontal="center" vertical="center"/>
      <protection hidden="1"/>
    </xf>
    <xf numFmtId="179" fontId="1" fillId="0" borderId="41" xfId="0" applyNumberFormat="1" applyFont="1" applyBorder="1" applyAlignment="1" applyProtection="1">
      <alignment horizontal="center" vertical="center"/>
      <protection hidden="1"/>
    </xf>
    <xf numFmtId="10" fontId="1" fillId="0" borderId="58" xfId="22" applyNumberFormat="1" applyFont="1" applyBorder="1" applyAlignment="1" applyProtection="1">
      <alignment horizontal="center" vertical="center"/>
      <protection hidden="1"/>
    </xf>
    <xf numFmtId="10" fontId="1" fillId="0" borderId="61" xfId="22" applyNumberFormat="1" applyFont="1" applyBorder="1" applyAlignment="1" applyProtection="1">
      <alignment horizontal="center" vertical="center"/>
      <protection hidden="1"/>
    </xf>
    <xf numFmtId="10" fontId="1" fillId="0" borderId="41" xfId="22" applyNumberFormat="1" applyFont="1" applyBorder="1" applyAlignment="1" applyProtection="1">
      <alignment horizontal="center" vertical="center"/>
      <protection hidden="1"/>
    </xf>
    <xf numFmtId="2" fontId="1" fillId="0" borderId="58" xfId="0" applyNumberFormat="1" applyFont="1" applyBorder="1" applyAlignment="1" applyProtection="1">
      <alignment horizontal="center" vertical="center"/>
      <protection hidden="1"/>
    </xf>
    <xf numFmtId="2" fontId="1" fillId="0" borderId="61" xfId="0" applyNumberFormat="1" applyFont="1" applyBorder="1" applyAlignment="1" applyProtection="1">
      <alignment horizontal="center" vertical="center"/>
      <protection hidden="1"/>
    </xf>
    <xf numFmtId="2" fontId="1" fillId="0" borderId="41" xfId="0" applyNumberFormat="1" applyFont="1" applyBorder="1" applyAlignment="1" applyProtection="1">
      <alignment horizontal="center" vertical="center"/>
      <protection hidden="1"/>
    </xf>
    <xf numFmtId="1" fontId="1" fillId="0" borderId="58" xfId="0" applyNumberFormat="1" applyFont="1" applyBorder="1" applyAlignment="1" applyProtection="1">
      <alignment horizontal="center" vertical="center"/>
      <protection hidden="1"/>
    </xf>
    <xf numFmtId="1" fontId="1" fillId="0" borderId="61" xfId="0" applyNumberFormat="1" applyFont="1" applyBorder="1" applyAlignment="1" applyProtection="1">
      <alignment horizontal="center" vertical="center"/>
      <protection hidden="1"/>
    </xf>
    <xf numFmtId="1" fontId="1" fillId="0" borderId="41" xfId="0" applyNumberFormat="1" applyFont="1" applyBorder="1" applyAlignment="1" applyProtection="1">
      <alignment horizontal="center" vertical="center"/>
      <protection hidden="1"/>
    </xf>
    <xf numFmtId="1" fontId="1" fillId="0" borderId="58" xfId="0" applyNumberFormat="1" applyFont="1" applyFill="1" applyBorder="1" applyAlignment="1" applyProtection="1">
      <alignment horizontal="center" vertical="center"/>
      <protection hidden="1"/>
    </xf>
    <xf numFmtId="1" fontId="1" fillId="0" borderId="61" xfId="0" applyNumberFormat="1" applyFont="1" applyFill="1" applyBorder="1" applyAlignment="1" applyProtection="1">
      <alignment horizontal="center" vertical="center"/>
      <protection hidden="1"/>
    </xf>
    <xf numFmtId="1" fontId="1" fillId="0" borderId="41" xfId="0" applyNumberFormat="1" applyFont="1" applyFill="1" applyBorder="1" applyAlignment="1" applyProtection="1">
      <alignment horizontal="center" vertical="center"/>
      <protection hidden="1"/>
    </xf>
    <xf numFmtId="1" fontId="1" fillId="0" borderId="50" xfId="0" applyNumberFormat="1" applyFont="1" applyFill="1" applyBorder="1" applyAlignment="1" applyProtection="1">
      <alignment horizontal="center" vertical="center"/>
      <protection hidden="1"/>
    </xf>
    <xf numFmtId="1" fontId="1" fillId="0" borderId="69" xfId="0" applyNumberFormat="1" applyFont="1" applyFill="1" applyBorder="1" applyAlignment="1" applyProtection="1">
      <alignment horizontal="center" vertical="center"/>
      <protection hidden="1"/>
    </xf>
    <xf numFmtId="1" fontId="1" fillId="0" borderId="42" xfId="0" applyNumberFormat="1" applyFont="1" applyFill="1" applyBorder="1" applyAlignment="1" applyProtection="1">
      <alignment horizontal="center" vertical="center"/>
      <protection hidden="1"/>
    </xf>
    <xf numFmtId="178" fontId="1" fillId="0" borderId="50" xfId="0" applyNumberFormat="1" applyFont="1" applyFill="1" applyBorder="1" applyAlignment="1" applyProtection="1">
      <alignment horizontal="center" vertical="center"/>
      <protection hidden="1"/>
    </xf>
    <xf numFmtId="178" fontId="1" fillId="0" borderId="69" xfId="0" applyNumberFormat="1" applyFont="1" applyFill="1" applyBorder="1" applyAlignment="1" applyProtection="1">
      <alignment horizontal="center" vertical="center"/>
      <protection hidden="1"/>
    </xf>
    <xf numFmtId="178" fontId="1" fillId="0" borderId="42" xfId="0" applyNumberFormat="1" applyFont="1" applyFill="1" applyBorder="1" applyAlignment="1" applyProtection="1">
      <alignment horizontal="center" vertical="center"/>
      <protection hidden="1"/>
    </xf>
    <xf numFmtId="179" fontId="1" fillId="0" borderId="45" xfId="0" applyNumberFormat="1" applyFont="1" applyBorder="1" applyAlignment="1" applyProtection="1">
      <alignment horizontal="center" vertical="center"/>
      <protection hidden="1"/>
    </xf>
    <xf numFmtId="179" fontId="1" fillId="0" borderId="28" xfId="0" applyNumberFormat="1" applyFont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left"/>
      <protection hidden="1"/>
    </xf>
    <xf numFmtId="0" fontId="7" fillId="0" borderId="67" xfId="0" applyFont="1" applyFill="1" applyBorder="1" applyAlignment="1" applyProtection="1">
      <alignment horizontal="left"/>
      <protection hidden="1"/>
    </xf>
    <xf numFmtId="0" fontId="7" fillId="0" borderId="47" xfId="0" applyFont="1" applyFill="1" applyBorder="1" applyAlignment="1" applyProtection="1">
      <alignment horizontal="left"/>
      <protection hidden="1"/>
    </xf>
    <xf numFmtId="0" fontId="7" fillId="0" borderId="22" xfId="0" applyFont="1" applyFill="1" applyBorder="1" applyAlignment="1" applyProtection="1">
      <alignment horizontal="left"/>
      <protection hidden="1"/>
    </xf>
    <xf numFmtId="0" fontId="7" fillId="0" borderId="66" xfId="0" applyFont="1" applyFill="1" applyBorder="1" applyAlignment="1" applyProtection="1">
      <alignment horizontal="left"/>
      <protection hidden="1"/>
    </xf>
    <xf numFmtId="0" fontId="7" fillId="0" borderId="48" xfId="0" applyFont="1" applyFill="1" applyBorder="1" applyAlignment="1" applyProtection="1">
      <alignment horizontal="left"/>
      <protection hidden="1"/>
    </xf>
    <xf numFmtId="0" fontId="7" fillId="0" borderId="21" xfId="0" applyFont="1" applyFill="1" applyBorder="1" applyAlignment="1" applyProtection="1">
      <alignment horizontal="left"/>
      <protection hidden="1"/>
    </xf>
    <xf numFmtId="0" fontId="7" fillId="0" borderId="70" xfId="0" applyFont="1" applyFill="1" applyBorder="1" applyAlignment="1" applyProtection="1">
      <alignment horizontal="left"/>
      <protection hidden="1"/>
    </xf>
    <xf numFmtId="0" fontId="7" fillId="0" borderId="57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1" fontId="0" fillId="6" borderId="0" xfId="0" applyNumberFormat="1" applyFill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 horizontal="center"/>
      <protection hidden="1"/>
    </xf>
    <xf numFmtId="0" fontId="7" fillId="3" borderId="29" xfId="0" applyFont="1" applyFill="1" applyBorder="1" applyAlignment="1" applyProtection="1">
      <alignment horizontal="center"/>
      <protection hidden="1"/>
    </xf>
    <xf numFmtId="0" fontId="7" fillId="3" borderId="30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right"/>
      <protection hidden="1"/>
    </xf>
    <xf numFmtId="0" fontId="0" fillId="0" borderId="56" xfId="0" applyBorder="1" applyAlignment="1" applyProtection="1">
      <alignment horizontal="right"/>
      <protection hidden="1"/>
    </xf>
    <xf numFmtId="0" fontId="0" fillId="0" borderId="60" xfId="0" applyBorder="1" applyAlignment="1" applyProtection="1">
      <alignment horizontal="right"/>
      <protection hidden="1"/>
    </xf>
    <xf numFmtId="0" fontId="0" fillId="0" borderId="62" xfId="0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right"/>
      <protection hidden="1"/>
    </xf>
    <xf numFmtId="0" fontId="0" fillId="0" borderId="21" xfId="0" applyBorder="1" applyAlignment="1" applyProtection="1">
      <alignment horizontal="right"/>
      <protection hidden="1"/>
    </xf>
    <xf numFmtId="0" fontId="0" fillId="0" borderId="16" xfId="0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8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32" xfId="0" applyBorder="1" applyAlignment="1" applyProtection="1">
      <alignment horizontal="right"/>
      <protection hidden="1"/>
    </xf>
    <xf numFmtId="0" fontId="0" fillId="0" borderId="22" xfId="0" applyBorder="1" applyAlignment="1" applyProtection="1">
      <alignment horizontal="right"/>
      <protection hidden="1"/>
    </xf>
    <xf numFmtId="0" fontId="1" fillId="3" borderId="8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14" fontId="15" fillId="0" borderId="8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perpave Trial Blends" xfId="21"/>
    <cellStyle name="Percent" xfId="22"/>
  </cellStyles>
  <dxfs count="3">
    <dxf>
      <font>
        <color rgb="FFFF0000"/>
      </font>
      <border/>
    </dxf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0.45th POWER  GRADATION CHART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5425"/>
          <c:w val="0.959"/>
          <c:h val="0.897"/>
        </c:manualLayout>
      </c:layout>
      <c:scatterChart>
        <c:scatterStyle val="lineMarker"/>
        <c:varyColors val="0"/>
        <c:ser>
          <c:idx val="3"/>
          <c:order val="0"/>
          <c:tx>
            <c:v>Control Points max.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'Grad. &amp; Batching'!$G$99:$G$111</c:f>
              <c:numCache/>
            </c:numRef>
          </c:xVal>
          <c:yVal>
            <c:numRef>
              <c:f>'Grad. &amp; Batching'!$J$99:$J$111</c:f>
              <c:numCache/>
            </c:numRef>
          </c:yVal>
          <c:smooth val="0"/>
        </c:ser>
        <c:ser>
          <c:idx val="5"/>
          <c:order val="1"/>
          <c:tx>
            <c:v>Sieve Markers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'Grad. &amp; Batching'!$G$99:$G$111</c:f>
              <c:numCache/>
            </c:numRef>
          </c:xVal>
          <c:yVal>
            <c:numRef>
              <c:f>'Grad. &amp; Batching'!$H$99:$H$111</c:f>
              <c:numCache/>
            </c:numRef>
          </c:yVal>
          <c:smooth val="0"/>
        </c:ser>
        <c:ser>
          <c:idx val="0"/>
          <c:order val="2"/>
          <c:tx>
            <c:v>MDL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'Grad. &amp; Batching'!$M$98:$M$99</c:f>
              <c:numCache/>
            </c:numRef>
          </c:xVal>
          <c:yVal>
            <c:numRef>
              <c:f>'Grad. &amp; Batching'!$N$98:$N$99</c:f>
              <c:numCache/>
            </c:numRef>
          </c:yVal>
          <c:smooth val="0"/>
        </c:ser>
        <c:ser>
          <c:idx val="1"/>
          <c:order val="3"/>
          <c:tx>
            <c:v>Control Points 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'Grad. &amp; Batching'!$G$99:$G$111</c:f>
              <c:numCache/>
            </c:numRef>
          </c:xVal>
          <c:yVal>
            <c:numRef>
              <c:f>'Grad. &amp; Batching'!$I$99:$I$111</c:f>
              <c:numCache/>
            </c:numRef>
          </c:yVal>
          <c:smooth val="0"/>
        </c:ser>
        <c:ser>
          <c:idx val="2"/>
          <c:order val="4"/>
          <c:tx>
            <c:v>Gradation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'Grad. &amp; Batching'!$G$99:$G$111</c:f>
              <c:numCache/>
            </c:numRef>
          </c:xVal>
          <c:yVal>
            <c:numRef>
              <c:f>'Grad. &amp; Batching'!$O$24:$O$36</c:f>
              <c:numCache/>
            </c:numRef>
          </c:yVal>
          <c:smooth val="1"/>
        </c:ser>
        <c:ser>
          <c:idx val="6"/>
          <c:order val="5"/>
          <c:tx>
            <c:v>restricted zone min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'Grad. &amp; Batching'!$G$105:$G$109</c:f>
              <c:numCache/>
            </c:numRef>
          </c:xVal>
          <c:yVal>
            <c:numRef>
              <c:f>'Grad. &amp; Batching'!$M$103:$M$107</c:f>
              <c:numCache/>
            </c:numRef>
          </c:yVal>
          <c:smooth val="0"/>
        </c:ser>
        <c:ser>
          <c:idx val="7"/>
          <c:order val="6"/>
          <c:tx>
            <c:v>restricted zone max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'Grad. &amp; Batching'!$G$105:$G$109</c:f>
              <c:numCache/>
            </c:numRef>
          </c:xVal>
          <c:yVal>
            <c:numRef>
              <c:f>'Grad. &amp; Batching'!$N$103:$N$107</c:f>
              <c:numCache/>
            </c:numRef>
          </c:yVal>
          <c:smooth val="0"/>
        </c:ser>
        <c:ser>
          <c:idx val="4"/>
          <c:order val="7"/>
          <c:tx>
            <c:v>Spec Min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'Grad. &amp; Batching'!$G$99:$G$111</c:f>
              <c:numCache/>
            </c:numRef>
          </c:xVal>
          <c:yVal>
            <c:numRef>
              <c:f>'Grad. &amp; Batching'!$P$24:$P$36</c:f>
              <c:numCache/>
            </c:numRef>
          </c:yVal>
          <c:smooth val="1"/>
        </c:ser>
        <c:ser>
          <c:idx val="8"/>
          <c:order val="8"/>
          <c:tx>
            <c:v>Spec Max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'Grad. &amp; Batching'!$G$99:$G$111</c:f>
              <c:numCache/>
            </c:numRef>
          </c:xVal>
          <c:yVal>
            <c:numRef>
              <c:f>'Grad. &amp; Batching'!$Q$24:$Q$36</c:f>
              <c:numCache/>
            </c:numRef>
          </c:yVal>
          <c:smooth val="1"/>
        </c:ser>
        <c:axId val="29053604"/>
        <c:axId val="60155845"/>
      </c:scatterChart>
      <c:valAx>
        <c:axId val="29053604"/>
        <c:scaling>
          <c:orientation val="minMax"/>
          <c:max val="1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Sieve Size  (mm)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0155845"/>
        <c:crosses val="autoZero"/>
        <c:crossBetween val="midCat"/>
        <c:dispUnits/>
      </c:valAx>
      <c:valAx>
        <c:axId val="601558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Passing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5"/>
          <c:w val="0.82025"/>
          <c:h val="0.7605"/>
        </c:manualLayout>
      </c:layout>
      <c:lineChart>
        <c:grouping val="standard"/>
        <c:varyColors val="0"/>
        <c:ser>
          <c:idx val="0"/>
          <c:order val="0"/>
          <c:tx>
            <c:v>Air Voids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('Lab Data'!$C$35,'Lab Data'!$C$39,'Lab Data'!$C$43,'Lab Data'!$C$47,'Lab Data'!$C$51)</c:f>
              <c:numCache>
                <c:ptCount val="5"/>
                <c:pt idx="0">
                  <c:v>0.05</c:v>
                </c:pt>
                <c:pt idx="1">
                  <c:v>0.055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('Lab Data'!$J$33,'Lab Data'!$J$37,'Lab Data'!$J$41,'Lab Data'!$J$45,'Lab Data'!$J$49)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Design Air Void Content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'Lab Data'!$F$83:$F$87</c:f>
              <c:numCache>
                <c:ptCount val="5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Asphalt Binder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 val="autoZero"/>
        <c:auto val="1"/>
        <c:lblOffset val="100"/>
        <c:noMultiLvlLbl val="0"/>
      </c:cat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Air Voids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316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5"/>
          <c:w val="0.80525"/>
          <c:h val="0.76725"/>
        </c:manualLayout>
      </c:layout>
      <c:lineChart>
        <c:grouping val="standard"/>
        <c:varyColors val="0"/>
        <c:ser>
          <c:idx val="0"/>
          <c:order val="0"/>
          <c:tx>
            <c:v>VMA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('Lab Data'!$C$35,'Lab Data'!$C$39,'Lab Data'!$C$43,'Lab Data'!$C$47,'Lab Data'!$C$51)</c:f>
              <c:numCache>
                <c:ptCount val="5"/>
                <c:pt idx="0">
                  <c:v>0.05</c:v>
                </c:pt>
                <c:pt idx="1">
                  <c:v>0.055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('Lab Data'!$K$33,'Lab Data'!$K$37,'Lab Data'!$K$41,'Lab Data'!$K$45,'Lab Data'!$K$49)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 VMA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'Vol. Analysis'!$E$84:$E$88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522904"/>
        <c:axId val="15270681"/>
      </c:lineChart>
      <c:cat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Asphalt Binder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 val="autoZero"/>
        <c:auto val="1"/>
        <c:lblOffset val="100"/>
        <c:noMultiLvlLbl val="0"/>
      </c:catAx>
      <c:valAx>
        <c:axId val="1527068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Voids in the Mineral Aggregate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522904"/>
        <c:crossesAt val="1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VFA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17"/>
          <c:w val="0.7995"/>
          <c:h val="0.796"/>
        </c:manualLayout>
      </c:layout>
      <c:lineChart>
        <c:grouping val="standard"/>
        <c:varyColors val="0"/>
        <c:ser>
          <c:idx val="0"/>
          <c:order val="0"/>
          <c:tx>
            <c:v>Air Voids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('Lab Data'!$C$35,'Lab Data'!$C$39,'Lab Data'!$C$43,'Lab Data'!$C$47,'Lab Data'!$C$51)</c:f>
              <c:numCache>
                <c:ptCount val="5"/>
                <c:pt idx="0">
                  <c:v>0.05</c:v>
                </c:pt>
                <c:pt idx="1">
                  <c:v>0.055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('Lab Data'!$L$33,'Lab Data'!$L$37,'Lab Data'!$L$41,'Lab Data'!$L$45,'Lab Data'!$L$49)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Min VFA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'Vol. Analysis'!$G$84:$G$88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Max VFA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'Vol. Analysis'!$H$84:$H$88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18402"/>
        <c:axId val="28965619"/>
      </c:line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Asphalt Binder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Voids filled with Asphalt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184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105"/>
          <c:w val="0.798"/>
          <c:h val="0.8025"/>
        </c:manualLayout>
      </c:layout>
      <c:lineChart>
        <c:grouping val="standard"/>
        <c:varyColors val="0"/>
        <c:ser>
          <c:idx val="0"/>
          <c:order val="0"/>
          <c:tx>
            <c:v>Air Voids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('Lab Data'!$C$35,'Lab Data'!$C$39,'Lab Data'!$C$43,'Lab Data'!$C$47,'Lab Data'!$C$51)</c:f>
              <c:numCache>
                <c:ptCount val="5"/>
                <c:pt idx="0">
                  <c:v>0.05</c:v>
                </c:pt>
                <c:pt idx="1">
                  <c:v>0.055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('Lab Data'!$N$33,'Lab Data'!$N$37,'Lab Data'!$N$41,'Lab Data'!$N$45,'Lab Data'!$N$49)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 min DP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'Vol. Analysis'!$J$84:$J$88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Max DP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'Vol. Analysis'!$K$84:$K$88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Asphalt Binder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773"/>
        <c:crosses val="autoZero"/>
        <c:auto val="1"/>
        <c:lblOffset val="100"/>
        <c:noMultiLvlLbl val="0"/>
      </c:catAx>
      <c:valAx>
        <c:axId val="6451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Dust Proportion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3639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625"/>
          <c:w val="0.82575"/>
          <c:h val="0.77925"/>
        </c:manualLayout>
      </c:layout>
      <c:lineChart>
        <c:grouping val="standard"/>
        <c:varyColors val="0"/>
        <c:ser>
          <c:idx val="0"/>
          <c:order val="0"/>
          <c:tx>
            <c:v>Air Voids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('Lab Data'!$C$35,'Lab Data'!$C$39,'Lab Data'!$C$43,'Lab Data'!$C$47,'Lab Data'!$C$51)</c:f>
              <c:numCache>
                <c:ptCount val="5"/>
                <c:pt idx="0">
                  <c:v>0.05</c:v>
                </c:pt>
                <c:pt idx="1">
                  <c:v>0.055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('Lab Data'!$S$33,'Lab Data'!$S$37,'Lab Data'!$S$41,'Lab Data'!$S$45,'Lab Data'!$S$49)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Min Stability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'Vol. Analysis'!$M$84:$M$88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Asphalt Binder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At val="0.8"/>
        <c:auto val="1"/>
        <c:lblOffset val="100"/>
        <c:noMultiLvlLbl val="0"/>
      </c:catAx>
      <c:valAx>
        <c:axId val="58233095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lbs.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7530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5"/>
          <c:w val="0.823"/>
          <c:h val="0.76275"/>
        </c:manualLayout>
      </c:layout>
      <c:lineChart>
        <c:grouping val="standard"/>
        <c:varyColors val="0"/>
        <c:ser>
          <c:idx val="0"/>
          <c:order val="0"/>
          <c:tx>
            <c:v>Air Voids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('Lab Data'!$C$35,'Lab Data'!$C$39,'Lab Data'!$C$43,'Lab Data'!$C$47,'Lab Data'!$C$51)</c:f>
              <c:numCache>
                <c:ptCount val="5"/>
                <c:pt idx="0">
                  <c:v>0.05</c:v>
                </c:pt>
                <c:pt idx="1">
                  <c:v>0.055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('Lab Data'!$U$33,'Lab Data'!$U$37,'Lab Data'!$U$41,'Lab Data'!$U$45,'Lab Data'!$U$49)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min flow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'Vol. Analysis'!$O$84:$O$88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max flow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'Vol. Analysis'!$P$84:$P$88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335808"/>
        <c:axId val="19260225"/>
      </c:line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Asphalt Binder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60225"/>
        <c:crossesAt val="0.8"/>
        <c:auto val="1"/>
        <c:lblOffset val="100"/>
        <c:noMultiLvlLbl val="0"/>
      </c:catAx>
      <c:valAx>
        <c:axId val="19260225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0.01 in. (0.25 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43358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image" Target="../media/image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2</xdr:row>
      <xdr:rowOff>9525</xdr:rowOff>
    </xdr:from>
    <xdr:to>
      <xdr:col>12</xdr:col>
      <xdr:colOff>342900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485775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390525</xdr:colOff>
      <xdr:row>6</xdr:row>
      <xdr:rowOff>95250</xdr:rowOff>
    </xdr:from>
    <xdr:to>
      <xdr:col>12</xdr:col>
      <xdr:colOff>523875</xdr:colOff>
      <xdr:row>17</xdr:row>
      <xdr:rowOff>104775</xdr:rowOff>
    </xdr:to>
    <xdr:grpSp>
      <xdr:nvGrpSpPr>
        <xdr:cNvPr id="2" name="Group 15"/>
        <xdr:cNvGrpSpPr>
          <a:grpSpLocks/>
        </xdr:cNvGrpSpPr>
      </xdr:nvGrpSpPr>
      <xdr:grpSpPr>
        <a:xfrm>
          <a:off x="6153150" y="1562100"/>
          <a:ext cx="2876550" cy="3009900"/>
          <a:chOff x="716" y="221"/>
          <a:chExt cx="302" cy="316"/>
        </a:xfrm>
        <a:solidFill>
          <a:srgbClr val="FFFFFF"/>
        </a:solidFill>
      </xdr:grpSpPr>
      <xdr:grpSp>
        <xdr:nvGrpSpPr>
          <xdr:cNvPr id="3" name="Group 9"/>
          <xdr:cNvGrpSpPr>
            <a:grpSpLocks/>
          </xdr:cNvGrpSpPr>
        </xdr:nvGrpSpPr>
        <xdr:grpSpPr>
          <a:xfrm>
            <a:off x="716" y="221"/>
            <a:ext cx="302" cy="256"/>
            <a:chOff x="727" y="14"/>
            <a:chExt cx="302" cy="256"/>
          </a:xfrm>
          <a:solidFill>
            <a:srgbClr val="FFFFFF"/>
          </a:solidFill>
        </xdr:grpSpPr>
        <xdr:sp>
          <xdr:nvSpPr>
            <xdr:cNvPr id="4" name="AutoShape 10"/>
            <xdr:cNvSpPr>
              <a:spLocks noChangeAspect="1"/>
            </xdr:cNvSpPr>
          </xdr:nvSpPr>
          <xdr:spPr>
            <a:xfrm>
              <a:off x="755" y="14"/>
              <a:ext cx="229" cy="196"/>
            </a:xfrm>
            <a:custGeom>
              <a:pathLst>
                <a:path h="1251" w="1473">
                  <a:moveTo>
                    <a:pt x="736" y="0"/>
                  </a:moveTo>
                  <a:lnTo>
                    <a:pt x="0" y="1251"/>
                  </a:lnTo>
                  <a:lnTo>
                    <a:pt x="1473" y="1251"/>
                  </a:lnTo>
                  <a:lnTo>
                    <a:pt x="736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AutoShape 11"/>
            <xdr:cNvSpPr>
              <a:spLocks noChangeAspect="1"/>
            </xdr:cNvSpPr>
          </xdr:nvSpPr>
          <xdr:spPr>
            <a:xfrm>
              <a:off x="864" y="107"/>
              <a:ext cx="120" cy="103"/>
            </a:xfrm>
            <a:custGeom>
              <a:pathLst>
                <a:path h="656" w="771">
                  <a:moveTo>
                    <a:pt x="386" y="0"/>
                  </a:moveTo>
                  <a:lnTo>
                    <a:pt x="0" y="656"/>
                  </a:lnTo>
                  <a:lnTo>
                    <a:pt x="771" y="656"/>
                  </a:lnTo>
                  <a:lnTo>
                    <a:pt x="386" y="0"/>
                  </a:lnTo>
                  <a:close/>
                </a:path>
              </a:pathLst>
            </a:custGeom>
            <a:solidFill>
              <a:srgbClr val="FFCC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AutoShape 12"/>
            <xdr:cNvSpPr>
              <a:spLocks noChangeAspect="1"/>
            </xdr:cNvSpPr>
          </xdr:nvSpPr>
          <xdr:spPr>
            <a:xfrm>
              <a:off x="873" y="115"/>
              <a:ext cx="111" cy="95"/>
            </a:xfrm>
            <a:custGeom>
              <a:pathLst>
                <a:path h="607" w="714">
                  <a:moveTo>
                    <a:pt x="358" y="0"/>
                  </a:moveTo>
                  <a:lnTo>
                    <a:pt x="0" y="607"/>
                  </a:lnTo>
                  <a:lnTo>
                    <a:pt x="714" y="607"/>
                  </a:lnTo>
                  <a:lnTo>
                    <a:pt x="35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AutoShape 13"/>
            <xdr:cNvSpPr>
              <a:spLocks/>
            </xdr:cNvSpPr>
          </xdr:nvSpPr>
          <xdr:spPr>
            <a:xfrm>
              <a:off x="727" y="210"/>
              <a:ext cx="302" cy="60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0488" tIns="44450" rIns="90488" bIns="44450"/>
            <a:p>
              <a:pPr algn="l">
                <a:defRPr/>
              </a:pPr>
              <a:r>
                <a:rPr lang="en-US" cap="none" sz="2600" b="0" i="1" u="none" baseline="0">
                  <a:solidFill>
                    <a:srgbClr val="000000"/>
                  </a:solidFill>
                </a:rPr>
                <a:t>ASPHALT INSTITUTE</a:t>
              </a:r>
            </a:p>
          </xdr:txBody>
        </xdr:sp>
      </xdr:grpSp>
      <xdr:sp>
        <xdr:nvSpPr>
          <xdr:cNvPr id="8" name="TextBox 14"/>
          <xdr:cNvSpPr txBox="1">
            <a:spLocks noChangeArrowheads="1"/>
          </xdr:cNvSpPr>
        </xdr:nvSpPr>
        <xdr:spPr>
          <a:xfrm>
            <a:off x="721" y="467"/>
            <a:ext cx="28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1" u="none" baseline="0"/>
              <a:t>Marshall Mix Design Program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0.15975</cdr:x>
      <cdr:y>0.13625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657225" cy="542925"/>
          <a:chOff x="2360" y="4555"/>
          <a:chExt cx="441" cy="340"/>
        </a:xfrm>
        <a:solidFill>
          <a:srgbClr val="FFFFFF"/>
        </a:solidFill>
      </cdr:grpSpPr>
      <cdr:grpSp>
        <cdr:nvGrpSpPr>
          <cdr:cNvPr id="2" name="Group 2"/>
          <cdr:cNvGrpSpPr>
            <a:grpSpLocks noChangeAspect="1"/>
          </cdr:cNvGrpSpPr>
        </cdr:nvGrpSpPr>
        <cdr:grpSpPr>
          <a:xfrm>
            <a:off x="2434" y="4555"/>
            <a:ext cx="294" cy="250"/>
            <a:chOff x="878" y="240"/>
            <a:chExt cx="1473" cy="1251"/>
          </a:xfrm>
          <a:solidFill>
            <a:srgbClr val="FFFFFF"/>
          </a:solidFill>
        </cdr:grpSpPr>
        <cdr:sp>
          <cdr:nvSpPr>
            <cdr:cNvPr id="3" name="AutoShape 3"/>
            <cdr:cNvSpPr>
              <a:spLocks noChangeAspect="1"/>
            </cdr:cNvSpPr>
          </cdr:nvSpPr>
          <cdr:spPr>
            <a:xfrm>
              <a:off x="878" y="240"/>
              <a:ext cx="1473" cy="1251"/>
            </a:xfrm>
            <a:custGeom>
              <a:pathLst>
                <a:path h="1251" w="1473">
                  <a:moveTo>
                    <a:pt x="736" y="0"/>
                  </a:moveTo>
                  <a:lnTo>
                    <a:pt x="0" y="1251"/>
                  </a:lnTo>
                  <a:lnTo>
                    <a:pt x="1473" y="1251"/>
                  </a:lnTo>
                  <a:lnTo>
                    <a:pt x="736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4" name="AutoShape 4"/>
            <cdr:cNvSpPr>
              <a:spLocks noChangeAspect="1"/>
            </cdr:cNvSpPr>
          </cdr:nvSpPr>
          <cdr:spPr>
            <a:xfrm>
              <a:off x="1580" y="831"/>
              <a:ext cx="771" cy="660"/>
            </a:xfrm>
            <a:custGeom>
              <a:pathLst>
                <a:path h="656" w="771">
                  <a:moveTo>
                    <a:pt x="386" y="0"/>
                  </a:moveTo>
                  <a:lnTo>
                    <a:pt x="0" y="656"/>
                  </a:lnTo>
                  <a:lnTo>
                    <a:pt x="771" y="656"/>
                  </a:lnTo>
                  <a:lnTo>
                    <a:pt x="386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5" name="AutoShape 5"/>
            <cdr:cNvSpPr>
              <a:spLocks noChangeAspect="1"/>
            </cdr:cNvSpPr>
          </cdr:nvSpPr>
          <cdr:spPr>
            <a:xfrm>
              <a:off x="1637" y="884"/>
              <a:ext cx="714" cy="607"/>
            </a:xfrm>
            <a:custGeom>
              <a:pathLst>
                <a:path h="607" w="714">
                  <a:moveTo>
                    <a:pt x="358" y="0"/>
                  </a:moveTo>
                  <a:lnTo>
                    <a:pt x="0" y="607"/>
                  </a:lnTo>
                  <a:lnTo>
                    <a:pt x="714" y="607"/>
                  </a:lnTo>
                  <a:lnTo>
                    <a:pt x="35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</cdr:grpSp>
      <cdr:sp>
        <cdr:nvSpPr>
          <cdr:cNvPr id="6" name="AutoShape 6"/>
          <cdr:cNvSpPr>
            <a:spLocks/>
          </cdr:cNvSpPr>
        </cdr:nvSpPr>
        <cdr:spPr>
          <a:xfrm>
            <a:off x="2360" y="4801"/>
            <a:ext cx="441" cy="94"/>
          </a:xfrm>
          <a:prstGeom prst="rect">
            <a:avLst/>
          </a:prstGeom>
          <a:noFill/>
          <a:ln w="12700" cmpd="sng">
            <a:noFill/>
          </a:ln>
        </cdr:spPr>
        <cdr:txBody>
          <a:bodyPr vertOverflow="clip" wrap="square" lIns="90488" tIns="44450" rIns="90488" bIns="44450"/>
          <a:p>
            <a:pPr algn="l">
              <a:defRPr/>
            </a:pPr>
            <a:r>
              <a:rPr lang="en-US" cap="none" sz="400" b="0" i="1" u="none" baseline="0">
                <a:solidFill>
                  <a:srgbClr val="000000"/>
                </a:solidFill>
              </a:rPr>
              <a:t>ASPHALT INSTITUTE
</a:t>
            </a: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190500</xdr:rowOff>
    </xdr:from>
    <xdr:to>
      <xdr:col>6</xdr:col>
      <xdr:colOff>676275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76275" y="190500"/>
        <a:ext cx="41148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0</xdr:row>
      <xdr:rowOff>190500</xdr:rowOff>
    </xdr:from>
    <xdr:to>
      <xdr:col>13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4791075" y="190500"/>
        <a:ext cx="41243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666750</xdr:colOff>
      <xdr:row>21</xdr:row>
      <xdr:rowOff>0</xdr:rowOff>
    </xdr:from>
    <xdr:to>
      <xdr:col>6</xdr:col>
      <xdr:colOff>676275</xdr:colOff>
      <xdr:row>41</xdr:row>
      <xdr:rowOff>19050</xdr:rowOff>
    </xdr:to>
    <xdr:graphicFrame>
      <xdr:nvGraphicFramePr>
        <xdr:cNvPr id="3" name="Chart 3"/>
        <xdr:cNvGraphicFramePr/>
      </xdr:nvGraphicFramePr>
      <xdr:xfrm>
        <a:off x="666750" y="4200525"/>
        <a:ext cx="41243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676275</xdr:colOff>
      <xdr:row>21</xdr:row>
      <xdr:rowOff>0</xdr:rowOff>
    </xdr:from>
    <xdr:to>
      <xdr:col>13</xdr:col>
      <xdr:colOff>0</xdr:colOff>
      <xdr:row>41</xdr:row>
      <xdr:rowOff>19050</xdr:rowOff>
    </xdr:to>
    <xdr:graphicFrame>
      <xdr:nvGraphicFramePr>
        <xdr:cNvPr id="4" name="Chart 4"/>
        <xdr:cNvGraphicFramePr/>
      </xdr:nvGraphicFramePr>
      <xdr:xfrm>
        <a:off x="4791075" y="4200525"/>
        <a:ext cx="412432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666750</xdr:colOff>
      <xdr:row>41</xdr:row>
      <xdr:rowOff>19050</xdr:rowOff>
    </xdr:from>
    <xdr:to>
      <xdr:col>7</xdr:col>
      <xdr:colOff>0</xdr:colOff>
      <xdr:row>61</xdr:row>
      <xdr:rowOff>19050</xdr:rowOff>
    </xdr:to>
    <xdr:graphicFrame>
      <xdr:nvGraphicFramePr>
        <xdr:cNvPr id="5" name="Chart 5"/>
        <xdr:cNvGraphicFramePr/>
      </xdr:nvGraphicFramePr>
      <xdr:xfrm>
        <a:off x="666750" y="8220075"/>
        <a:ext cx="413385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41</xdr:row>
      <xdr:rowOff>19050</xdr:rowOff>
    </xdr:from>
    <xdr:to>
      <xdr:col>13</xdr:col>
      <xdr:colOff>0</xdr:colOff>
      <xdr:row>61</xdr:row>
      <xdr:rowOff>19050</xdr:rowOff>
    </xdr:to>
    <xdr:graphicFrame>
      <xdr:nvGraphicFramePr>
        <xdr:cNvPr id="6" name="Chart 6"/>
        <xdr:cNvGraphicFramePr/>
      </xdr:nvGraphicFramePr>
      <xdr:xfrm>
        <a:off x="4800600" y="8220075"/>
        <a:ext cx="41148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13</xdr:col>
      <xdr:colOff>295275</xdr:colOff>
      <xdr:row>1</xdr:row>
      <xdr:rowOff>152400</xdr:rowOff>
    </xdr:from>
    <xdr:to>
      <xdr:col>15</xdr:col>
      <xdr:colOff>38100</xdr:colOff>
      <xdr:row>4</xdr:row>
      <xdr:rowOff>123825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10675" y="352425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209550</xdr:rowOff>
    </xdr:from>
    <xdr:to>
      <xdr:col>12</xdr:col>
      <xdr:colOff>123825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09550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180975</xdr:colOff>
      <xdr:row>0</xdr:row>
      <xdr:rowOff>104775</xdr:rowOff>
    </xdr:from>
    <xdr:to>
      <xdr:col>10</xdr:col>
      <xdr:colOff>400050</xdr:colOff>
      <xdr:row>6</xdr:row>
      <xdr:rowOff>38100</xdr:rowOff>
    </xdr:to>
    <xdr:grpSp>
      <xdr:nvGrpSpPr>
        <xdr:cNvPr id="2" name="Group 29"/>
        <xdr:cNvGrpSpPr>
          <a:grpSpLocks/>
        </xdr:cNvGrpSpPr>
      </xdr:nvGrpSpPr>
      <xdr:grpSpPr>
        <a:xfrm>
          <a:off x="5581650" y="104775"/>
          <a:ext cx="1638300" cy="1628775"/>
          <a:chOff x="586" y="11"/>
          <a:chExt cx="172" cy="173"/>
        </a:xfrm>
        <a:solidFill>
          <a:srgbClr val="FFFFFF"/>
        </a:solidFill>
      </xdr:grpSpPr>
      <xdr:sp>
        <xdr:nvSpPr>
          <xdr:cNvPr id="3" name="AutoShape 24"/>
          <xdr:cNvSpPr>
            <a:spLocks noChangeAspect="1"/>
          </xdr:cNvSpPr>
        </xdr:nvSpPr>
        <xdr:spPr>
          <a:xfrm>
            <a:off x="603" y="11"/>
            <a:ext cx="127" cy="107"/>
          </a:xfrm>
          <a:custGeom>
            <a:pathLst>
              <a:path h="1251" w="1473">
                <a:moveTo>
                  <a:pt x="736" y="0"/>
                </a:moveTo>
                <a:lnTo>
                  <a:pt x="0" y="1251"/>
                </a:lnTo>
                <a:lnTo>
                  <a:pt x="1473" y="1251"/>
                </a:lnTo>
                <a:lnTo>
                  <a:pt x="7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AutoShape 25"/>
          <xdr:cNvSpPr>
            <a:spLocks noChangeAspect="1"/>
          </xdr:cNvSpPr>
        </xdr:nvSpPr>
        <xdr:spPr>
          <a:xfrm>
            <a:off x="664" y="62"/>
            <a:ext cx="66" cy="56"/>
          </a:xfrm>
          <a:custGeom>
            <a:pathLst>
              <a:path h="656" w="771">
                <a:moveTo>
                  <a:pt x="386" y="0"/>
                </a:moveTo>
                <a:lnTo>
                  <a:pt x="0" y="656"/>
                </a:lnTo>
                <a:lnTo>
                  <a:pt x="771" y="656"/>
                </a:lnTo>
                <a:lnTo>
                  <a:pt x="386" y="0"/>
                </a:lnTo>
                <a:close/>
              </a:path>
            </a:pathLst>
          </a:custGeom>
          <a:solidFill>
            <a:srgbClr val="FFCC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AutoShape 26"/>
          <xdr:cNvSpPr>
            <a:spLocks noChangeAspect="1"/>
          </xdr:cNvSpPr>
        </xdr:nvSpPr>
        <xdr:spPr>
          <a:xfrm>
            <a:off x="668" y="66"/>
            <a:ext cx="62" cy="52"/>
          </a:xfrm>
          <a:custGeom>
            <a:pathLst>
              <a:path h="607" w="714">
                <a:moveTo>
                  <a:pt x="358" y="0"/>
                </a:moveTo>
                <a:lnTo>
                  <a:pt x="0" y="607"/>
                </a:lnTo>
                <a:lnTo>
                  <a:pt x="714" y="607"/>
                </a:lnTo>
                <a:lnTo>
                  <a:pt x="35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AutoShape 27"/>
          <xdr:cNvSpPr>
            <a:spLocks/>
          </xdr:cNvSpPr>
        </xdr:nvSpPr>
        <xdr:spPr>
          <a:xfrm>
            <a:off x="586" y="118"/>
            <a:ext cx="172" cy="6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0488" tIns="44450" rIns="90488" bIns="44450"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ASPHALT INSTITUTE
Marshall Mix Design
Program
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619125</xdr:colOff>
      <xdr:row>0</xdr:row>
      <xdr:rowOff>247650</xdr:rowOff>
    </xdr:from>
    <xdr:to>
      <xdr:col>12</xdr:col>
      <xdr:colOff>228600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47650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0</xdr:row>
      <xdr:rowOff>104775</xdr:rowOff>
    </xdr:from>
    <xdr:to>
      <xdr:col>10</xdr:col>
      <xdr:colOff>561975</xdr:colOff>
      <xdr:row>5</xdr:row>
      <xdr:rowOff>171450</xdr:rowOff>
    </xdr:to>
    <xdr:grpSp>
      <xdr:nvGrpSpPr>
        <xdr:cNvPr id="2" name="Group 36"/>
        <xdr:cNvGrpSpPr>
          <a:grpSpLocks/>
        </xdr:cNvGrpSpPr>
      </xdr:nvGrpSpPr>
      <xdr:grpSpPr>
        <a:xfrm>
          <a:off x="6638925" y="104775"/>
          <a:ext cx="1743075" cy="1657350"/>
          <a:chOff x="651" y="11"/>
          <a:chExt cx="183" cy="174"/>
        </a:xfrm>
        <a:solidFill>
          <a:srgbClr val="FFFFFF"/>
        </a:solidFill>
      </xdr:grpSpPr>
      <xdr:sp>
        <xdr:nvSpPr>
          <xdr:cNvPr id="3" name="AutoShape 32"/>
          <xdr:cNvSpPr>
            <a:spLocks noChangeAspect="1"/>
          </xdr:cNvSpPr>
        </xdr:nvSpPr>
        <xdr:spPr>
          <a:xfrm>
            <a:off x="675" y="11"/>
            <a:ext cx="127" cy="107"/>
          </a:xfrm>
          <a:custGeom>
            <a:pathLst>
              <a:path h="1251" w="1473">
                <a:moveTo>
                  <a:pt x="736" y="0"/>
                </a:moveTo>
                <a:lnTo>
                  <a:pt x="0" y="1251"/>
                </a:lnTo>
                <a:lnTo>
                  <a:pt x="1473" y="1251"/>
                </a:lnTo>
                <a:lnTo>
                  <a:pt x="7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AutoShape 33"/>
          <xdr:cNvSpPr>
            <a:spLocks noChangeAspect="1"/>
          </xdr:cNvSpPr>
        </xdr:nvSpPr>
        <xdr:spPr>
          <a:xfrm>
            <a:off x="736" y="62"/>
            <a:ext cx="66" cy="56"/>
          </a:xfrm>
          <a:custGeom>
            <a:pathLst>
              <a:path h="656" w="771">
                <a:moveTo>
                  <a:pt x="386" y="0"/>
                </a:moveTo>
                <a:lnTo>
                  <a:pt x="0" y="656"/>
                </a:lnTo>
                <a:lnTo>
                  <a:pt x="771" y="656"/>
                </a:lnTo>
                <a:lnTo>
                  <a:pt x="386" y="0"/>
                </a:lnTo>
                <a:close/>
              </a:path>
            </a:pathLst>
          </a:custGeom>
          <a:solidFill>
            <a:srgbClr val="FFCC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AutoShape 34"/>
          <xdr:cNvSpPr>
            <a:spLocks noChangeAspect="1"/>
          </xdr:cNvSpPr>
        </xdr:nvSpPr>
        <xdr:spPr>
          <a:xfrm>
            <a:off x="740" y="66"/>
            <a:ext cx="62" cy="52"/>
          </a:xfrm>
          <a:custGeom>
            <a:pathLst>
              <a:path h="607" w="714">
                <a:moveTo>
                  <a:pt x="358" y="0"/>
                </a:moveTo>
                <a:lnTo>
                  <a:pt x="0" y="607"/>
                </a:lnTo>
                <a:lnTo>
                  <a:pt x="714" y="607"/>
                </a:lnTo>
                <a:lnTo>
                  <a:pt x="35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AutoShape 35"/>
          <xdr:cNvSpPr>
            <a:spLocks/>
          </xdr:cNvSpPr>
        </xdr:nvSpPr>
        <xdr:spPr>
          <a:xfrm>
            <a:off x="651" y="119"/>
            <a:ext cx="183" cy="6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0488" tIns="44450" rIns="90488" bIns="44450"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ASPHALT INSTITUTE
Marshall Mix Design
Program
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0.94825</cdr:y>
    </cdr:from>
    <cdr:to>
      <cdr:x>0.137</cdr:x>
      <cdr:y>0.9805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522922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0.075
.075</a:t>
          </a:r>
        </a:p>
      </cdr:txBody>
    </cdr:sp>
  </cdr:relSizeAnchor>
  <cdr:relSizeAnchor xmlns:cdr="http://schemas.openxmlformats.org/drawingml/2006/chartDrawing">
    <cdr:from>
      <cdr:x>0.137</cdr:x>
      <cdr:y>0.94825</cdr:y>
    </cdr:from>
    <cdr:to>
      <cdr:x>0.17625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52292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0.3
</a:t>
          </a:r>
        </a:p>
      </cdr:txBody>
    </cdr:sp>
  </cdr:relSizeAnchor>
  <cdr:relSizeAnchor xmlns:cdr="http://schemas.openxmlformats.org/drawingml/2006/chartDrawing">
    <cdr:from>
      <cdr:x>0.1725</cdr:x>
      <cdr:y>0.94825</cdr:y>
    </cdr:from>
    <cdr:to>
      <cdr:x>0.20875</cdr:x>
      <cdr:y>0.9805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522922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0.6
</a:t>
          </a:r>
        </a:p>
      </cdr:txBody>
    </cdr:sp>
  </cdr:relSizeAnchor>
  <cdr:relSizeAnchor xmlns:cdr="http://schemas.openxmlformats.org/drawingml/2006/chartDrawing">
    <cdr:from>
      <cdr:x>0.20875</cdr:x>
      <cdr:y>0.94825</cdr:y>
    </cdr:from>
    <cdr:to>
      <cdr:x>0.248</cdr:x>
      <cdr:y>0.98125</cdr:y>
    </cdr:to>
    <cdr:sp>
      <cdr:nvSpPr>
        <cdr:cNvPr id="4" name="TextBox 4"/>
        <cdr:cNvSpPr txBox="1">
          <a:spLocks noChangeArrowheads="1"/>
        </cdr:cNvSpPr>
      </cdr:nvSpPr>
      <cdr:spPr>
        <a:xfrm>
          <a:off x="2419350" y="52292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1.18
</a:t>
          </a:r>
        </a:p>
      </cdr:txBody>
    </cdr:sp>
  </cdr:relSizeAnchor>
  <cdr:relSizeAnchor xmlns:cdr="http://schemas.openxmlformats.org/drawingml/2006/chartDrawing">
    <cdr:from>
      <cdr:x>0.36075</cdr:x>
      <cdr:y>0.94825</cdr:y>
    </cdr:from>
    <cdr:to>
      <cdr:x>0.40075</cdr:x>
      <cdr:y>0.98125</cdr:y>
    </cdr:to>
    <cdr:sp>
      <cdr:nvSpPr>
        <cdr:cNvPr id="5" name="TextBox 5"/>
        <cdr:cNvSpPr txBox="1">
          <a:spLocks noChangeArrowheads="1"/>
        </cdr:cNvSpPr>
      </cdr:nvSpPr>
      <cdr:spPr>
        <a:xfrm>
          <a:off x="4181475" y="52292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4.75
</a:t>
          </a:r>
        </a:p>
      </cdr:txBody>
    </cdr:sp>
  </cdr:relSizeAnchor>
  <cdr:relSizeAnchor xmlns:cdr="http://schemas.openxmlformats.org/drawingml/2006/chartDrawing">
    <cdr:from>
      <cdr:x>0.277</cdr:x>
      <cdr:y>0.94825</cdr:y>
    </cdr:from>
    <cdr:to>
      <cdr:x>0.316</cdr:x>
      <cdr:y>0.98125</cdr:y>
    </cdr:to>
    <cdr:sp>
      <cdr:nvSpPr>
        <cdr:cNvPr id="6" name="TextBox 6"/>
        <cdr:cNvSpPr txBox="1">
          <a:spLocks noChangeArrowheads="1"/>
        </cdr:cNvSpPr>
      </cdr:nvSpPr>
      <cdr:spPr>
        <a:xfrm>
          <a:off x="3209925" y="52292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2.36
</a:t>
          </a:r>
        </a:p>
      </cdr:txBody>
    </cdr:sp>
  </cdr:relSizeAnchor>
  <cdr:relSizeAnchor xmlns:cdr="http://schemas.openxmlformats.org/drawingml/2006/chartDrawing">
    <cdr:from>
      <cdr:x>0.72425</cdr:x>
      <cdr:y>0.94825</cdr:y>
    </cdr:from>
    <cdr:to>
      <cdr:x>0.76425</cdr:x>
      <cdr:y>0.98125</cdr:y>
    </cdr:to>
    <cdr:sp>
      <cdr:nvSpPr>
        <cdr:cNvPr id="7" name="TextBox 7"/>
        <cdr:cNvSpPr txBox="1">
          <a:spLocks noChangeArrowheads="1"/>
        </cdr:cNvSpPr>
      </cdr:nvSpPr>
      <cdr:spPr>
        <a:xfrm>
          <a:off x="8401050" y="52292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25
</a:t>
          </a:r>
        </a:p>
      </cdr:txBody>
    </cdr:sp>
  </cdr:relSizeAnchor>
  <cdr:relSizeAnchor xmlns:cdr="http://schemas.openxmlformats.org/drawingml/2006/chartDrawing">
    <cdr:from>
      <cdr:x>0.645</cdr:x>
      <cdr:y>0.94825</cdr:y>
    </cdr:from>
    <cdr:to>
      <cdr:x>0.68325</cdr:x>
      <cdr:y>0.98125</cdr:y>
    </cdr:to>
    <cdr:sp>
      <cdr:nvSpPr>
        <cdr:cNvPr id="8" name="TextBox 8"/>
        <cdr:cNvSpPr txBox="1">
          <a:spLocks noChangeArrowheads="1"/>
        </cdr:cNvSpPr>
      </cdr:nvSpPr>
      <cdr:spPr>
        <a:xfrm>
          <a:off x="7486650" y="522922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19
</a:t>
          </a:r>
        </a:p>
      </cdr:txBody>
    </cdr:sp>
  </cdr:relSizeAnchor>
  <cdr:relSizeAnchor xmlns:cdr="http://schemas.openxmlformats.org/drawingml/2006/chartDrawing">
    <cdr:from>
      <cdr:x>0.536</cdr:x>
      <cdr:y>0.94825</cdr:y>
    </cdr:from>
    <cdr:to>
      <cdr:x>0.575</cdr:x>
      <cdr:y>0.98125</cdr:y>
    </cdr:to>
    <cdr:sp>
      <cdr:nvSpPr>
        <cdr:cNvPr id="9" name="TextBox 9"/>
        <cdr:cNvSpPr txBox="1">
          <a:spLocks noChangeArrowheads="1"/>
        </cdr:cNvSpPr>
      </cdr:nvSpPr>
      <cdr:spPr>
        <a:xfrm>
          <a:off x="6219825" y="52292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12.5
</a:t>
          </a:r>
        </a:p>
      </cdr:txBody>
    </cdr:sp>
  </cdr:relSizeAnchor>
  <cdr:relSizeAnchor xmlns:cdr="http://schemas.openxmlformats.org/drawingml/2006/chartDrawing">
    <cdr:from>
      <cdr:x>0.47825</cdr:x>
      <cdr:y>0.94825</cdr:y>
    </cdr:from>
    <cdr:to>
      <cdr:x>0.51725</cdr:x>
      <cdr:y>0.98125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543550" y="52292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9.5
</a:t>
          </a:r>
        </a:p>
      </cdr:txBody>
    </cdr:sp>
  </cdr:relSizeAnchor>
  <cdr:relSizeAnchor xmlns:cdr="http://schemas.openxmlformats.org/drawingml/2006/chartDrawing">
    <cdr:from>
      <cdr:x>0.851</cdr:x>
      <cdr:y>0.94825</cdr:y>
    </cdr:from>
    <cdr:to>
      <cdr:x>0.891</cdr:x>
      <cdr:y>0.98125</cdr:y>
    </cdr:to>
    <cdr:sp>
      <cdr:nvSpPr>
        <cdr:cNvPr id="11" name="TextBox 11"/>
        <cdr:cNvSpPr txBox="1">
          <a:spLocks noChangeArrowheads="1"/>
        </cdr:cNvSpPr>
      </cdr:nvSpPr>
      <cdr:spPr>
        <a:xfrm>
          <a:off x="9877425" y="52292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37.5
</a:t>
          </a:r>
        </a:p>
      </cdr:txBody>
    </cdr:sp>
  </cdr:relSizeAnchor>
  <cdr:relSizeAnchor xmlns:cdr="http://schemas.openxmlformats.org/drawingml/2006/chartDrawing">
    <cdr:from>
      <cdr:x>0.96275</cdr:x>
      <cdr:y>0.94825</cdr:y>
    </cdr:from>
    <cdr:to>
      <cdr:x>0.9995</cdr:x>
      <cdr:y>0.98125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1172825" y="522922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50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57150</xdr:rowOff>
    </xdr:from>
    <xdr:to>
      <xdr:col>15</xdr:col>
      <xdr:colOff>600075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247650" y="8896350"/>
        <a:ext cx="116109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485775</xdr:colOff>
      <xdr:row>1</xdr:row>
      <xdr:rowOff>104775</xdr:rowOff>
    </xdr:from>
    <xdr:to>
      <xdr:col>16</xdr:col>
      <xdr:colOff>161925</xdr:colOff>
      <xdr:row>3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266700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30</xdr:col>
      <xdr:colOff>590550</xdr:colOff>
      <xdr:row>0</xdr:row>
      <xdr:rowOff>104775</xdr:rowOff>
    </xdr:from>
    <xdr:to>
      <xdr:col>32</xdr:col>
      <xdr:colOff>476250</xdr:colOff>
      <xdr:row>3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55025" y="10477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47</xdr:col>
      <xdr:colOff>247650</xdr:colOff>
      <xdr:row>0</xdr:row>
      <xdr:rowOff>95250</xdr:rowOff>
    </xdr:from>
    <xdr:to>
      <xdr:col>49</xdr:col>
      <xdr:colOff>133350</xdr:colOff>
      <xdr:row>3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32475" y="95250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28</xdr:col>
      <xdr:colOff>19050</xdr:colOff>
      <xdr:row>0</xdr:row>
      <xdr:rowOff>95250</xdr:rowOff>
    </xdr:from>
    <xdr:to>
      <xdr:col>31</xdr:col>
      <xdr:colOff>133350</xdr:colOff>
      <xdr:row>8</xdr:row>
      <xdr:rowOff>28575</xdr:rowOff>
    </xdr:to>
    <xdr:grpSp>
      <xdr:nvGrpSpPr>
        <xdr:cNvPr id="5" name="Group 69"/>
        <xdr:cNvGrpSpPr>
          <a:grpSpLocks/>
        </xdr:cNvGrpSpPr>
      </xdr:nvGrpSpPr>
      <xdr:grpSpPr>
        <a:xfrm>
          <a:off x="19364325" y="95250"/>
          <a:ext cx="1943100" cy="1924050"/>
          <a:chOff x="89" y="25"/>
          <a:chExt cx="204" cy="200"/>
        </a:xfrm>
        <a:solidFill>
          <a:srgbClr val="FFFFFF"/>
        </a:solidFill>
      </xdr:grpSpPr>
      <xdr:sp>
        <xdr:nvSpPr>
          <xdr:cNvPr id="6" name="AutoShape 70"/>
          <xdr:cNvSpPr>
            <a:spLocks noChangeAspect="1"/>
          </xdr:cNvSpPr>
        </xdr:nvSpPr>
        <xdr:spPr>
          <a:xfrm>
            <a:off x="120" y="25"/>
            <a:ext cx="147" cy="126"/>
          </a:xfrm>
          <a:custGeom>
            <a:pathLst>
              <a:path h="1251" w="1473">
                <a:moveTo>
                  <a:pt x="736" y="0"/>
                </a:moveTo>
                <a:lnTo>
                  <a:pt x="0" y="1251"/>
                </a:lnTo>
                <a:lnTo>
                  <a:pt x="1473" y="1251"/>
                </a:lnTo>
                <a:lnTo>
                  <a:pt x="7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71"/>
          <xdr:cNvSpPr>
            <a:spLocks noChangeAspect="1"/>
          </xdr:cNvSpPr>
        </xdr:nvSpPr>
        <xdr:spPr>
          <a:xfrm>
            <a:off x="190" y="85"/>
            <a:ext cx="77" cy="66"/>
          </a:xfrm>
          <a:custGeom>
            <a:pathLst>
              <a:path h="656" w="771">
                <a:moveTo>
                  <a:pt x="386" y="0"/>
                </a:moveTo>
                <a:lnTo>
                  <a:pt x="0" y="656"/>
                </a:lnTo>
                <a:lnTo>
                  <a:pt x="771" y="656"/>
                </a:lnTo>
                <a:lnTo>
                  <a:pt x="386" y="0"/>
                </a:lnTo>
                <a:close/>
              </a:path>
            </a:pathLst>
          </a:custGeom>
          <a:solidFill>
            <a:srgbClr val="FFCC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72"/>
          <xdr:cNvSpPr>
            <a:spLocks noChangeAspect="1"/>
          </xdr:cNvSpPr>
        </xdr:nvSpPr>
        <xdr:spPr>
          <a:xfrm>
            <a:off x="195" y="90"/>
            <a:ext cx="72" cy="61"/>
          </a:xfrm>
          <a:custGeom>
            <a:pathLst>
              <a:path h="607" w="714">
                <a:moveTo>
                  <a:pt x="358" y="0"/>
                </a:moveTo>
                <a:lnTo>
                  <a:pt x="0" y="607"/>
                </a:lnTo>
                <a:lnTo>
                  <a:pt x="714" y="607"/>
                </a:lnTo>
                <a:lnTo>
                  <a:pt x="35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73"/>
          <xdr:cNvSpPr>
            <a:spLocks/>
          </xdr:cNvSpPr>
        </xdr:nvSpPr>
        <xdr:spPr>
          <a:xfrm>
            <a:off x="89" y="148"/>
            <a:ext cx="204" cy="7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0488" tIns="44450" rIns="90488" bIns="44450"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ASPHALT INSTITUTE
Marshall Mix Design
Program
</a:t>
            </a:r>
          </a:p>
        </xdr:txBody>
      </xdr:sp>
    </xdr:grpSp>
    <xdr:clientData/>
  </xdr:twoCellAnchor>
  <xdr:twoCellAnchor>
    <xdr:from>
      <xdr:col>43</xdr:col>
      <xdr:colOff>533400</xdr:colOff>
      <xdr:row>0</xdr:row>
      <xdr:rowOff>123825</xdr:rowOff>
    </xdr:from>
    <xdr:to>
      <xdr:col>47</xdr:col>
      <xdr:colOff>38100</xdr:colOff>
      <xdr:row>8</xdr:row>
      <xdr:rowOff>9525</xdr:rowOff>
    </xdr:to>
    <xdr:grpSp>
      <xdr:nvGrpSpPr>
        <xdr:cNvPr id="10" name="Group 74"/>
        <xdr:cNvGrpSpPr>
          <a:grpSpLocks/>
        </xdr:cNvGrpSpPr>
      </xdr:nvGrpSpPr>
      <xdr:grpSpPr>
        <a:xfrm>
          <a:off x="29079825" y="123825"/>
          <a:ext cx="1943100" cy="1876425"/>
          <a:chOff x="89" y="25"/>
          <a:chExt cx="204" cy="200"/>
        </a:xfrm>
        <a:solidFill>
          <a:srgbClr val="FFFFFF"/>
        </a:solidFill>
      </xdr:grpSpPr>
      <xdr:sp>
        <xdr:nvSpPr>
          <xdr:cNvPr id="11" name="AutoShape 75"/>
          <xdr:cNvSpPr>
            <a:spLocks noChangeAspect="1"/>
          </xdr:cNvSpPr>
        </xdr:nvSpPr>
        <xdr:spPr>
          <a:xfrm>
            <a:off x="120" y="25"/>
            <a:ext cx="147" cy="126"/>
          </a:xfrm>
          <a:custGeom>
            <a:pathLst>
              <a:path h="1251" w="1473">
                <a:moveTo>
                  <a:pt x="736" y="0"/>
                </a:moveTo>
                <a:lnTo>
                  <a:pt x="0" y="1251"/>
                </a:lnTo>
                <a:lnTo>
                  <a:pt x="1473" y="1251"/>
                </a:lnTo>
                <a:lnTo>
                  <a:pt x="7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76"/>
          <xdr:cNvSpPr>
            <a:spLocks noChangeAspect="1"/>
          </xdr:cNvSpPr>
        </xdr:nvSpPr>
        <xdr:spPr>
          <a:xfrm>
            <a:off x="190" y="85"/>
            <a:ext cx="77" cy="66"/>
          </a:xfrm>
          <a:custGeom>
            <a:pathLst>
              <a:path h="656" w="771">
                <a:moveTo>
                  <a:pt x="386" y="0"/>
                </a:moveTo>
                <a:lnTo>
                  <a:pt x="0" y="656"/>
                </a:lnTo>
                <a:lnTo>
                  <a:pt x="771" y="656"/>
                </a:lnTo>
                <a:lnTo>
                  <a:pt x="386" y="0"/>
                </a:lnTo>
                <a:close/>
              </a:path>
            </a:pathLst>
          </a:custGeom>
          <a:solidFill>
            <a:srgbClr val="FFCC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77"/>
          <xdr:cNvSpPr>
            <a:spLocks noChangeAspect="1"/>
          </xdr:cNvSpPr>
        </xdr:nvSpPr>
        <xdr:spPr>
          <a:xfrm>
            <a:off x="195" y="90"/>
            <a:ext cx="72" cy="61"/>
          </a:xfrm>
          <a:custGeom>
            <a:pathLst>
              <a:path h="607" w="714">
                <a:moveTo>
                  <a:pt x="358" y="0"/>
                </a:moveTo>
                <a:lnTo>
                  <a:pt x="0" y="607"/>
                </a:lnTo>
                <a:lnTo>
                  <a:pt x="714" y="607"/>
                </a:lnTo>
                <a:lnTo>
                  <a:pt x="35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78"/>
          <xdr:cNvSpPr>
            <a:spLocks/>
          </xdr:cNvSpPr>
        </xdr:nvSpPr>
        <xdr:spPr>
          <a:xfrm>
            <a:off x="89" y="148"/>
            <a:ext cx="204" cy="7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0488" tIns="44450" rIns="90488" bIns="44450"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ASPHALT INSTITUTE
Marshall Mix Design
Program
</a:t>
            </a:r>
          </a:p>
        </xdr:txBody>
      </xdr:sp>
    </xdr:grpSp>
    <xdr:clientData/>
  </xdr:twoCellAnchor>
  <xdr:twoCellAnchor>
    <xdr:from>
      <xdr:col>12</xdr:col>
      <xdr:colOff>9525</xdr:colOff>
      <xdr:row>1</xdr:row>
      <xdr:rowOff>247650</xdr:rowOff>
    </xdr:from>
    <xdr:to>
      <xdr:col>14</xdr:col>
      <xdr:colOff>238125</xdr:colOff>
      <xdr:row>9</xdr:row>
      <xdr:rowOff>57150</xdr:rowOff>
    </xdr:to>
    <xdr:grpSp>
      <xdr:nvGrpSpPr>
        <xdr:cNvPr id="15" name="Group 79"/>
        <xdr:cNvGrpSpPr>
          <a:grpSpLocks/>
        </xdr:cNvGrpSpPr>
      </xdr:nvGrpSpPr>
      <xdr:grpSpPr>
        <a:xfrm>
          <a:off x="8734425" y="409575"/>
          <a:ext cx="1943100" cy="1905000"/>
          <a:chOff x="89" y="25"/>
          <a:chExt cx="204" cy="200"/>
        </a:xfrm>
        <a:solidFill>
          <a:srgbClr val="FFFFFF"/>
        </a:solidFill>
      </xdr:grpSpPr>
      <xdr:sp>
        <xdr:nvSpPr>
          <xdr:cNvPr id="16" name="AutoShape 80"/>
          <xdr:cNvSpPr>
            <a:spLocks noChangeAspect="1"/>
          </xdr:cNvSpPr>
        </xdr:nvSpPr>
        <xdr:spPr>
          <a:xfrm>
            <a:off x="120" y="25"/>
            <a:ext cx="147" cy="126"/>
          </a:xfrm>
          <a:custGeom>
            <a:pathLst>
              <a:path h="1251" w="1473">
                <a:moveTo>
                  <a:pt x="736" y="0"/>
                </a:moveTo>
                <a:lnTo>
                  <a:pt x="0" y="1251"/>
                </a:lnTo>
                <a:lnTo>
                  <a:pt x="1473" y="1251"/>
                </a:lnTo>
                <a:lnTo>
                  <a:pt x="7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AutoShape 81"/>
          <xdr:cNvSpPr>
            <a:spLocks noChangeAspect="1"/>
          </xdr:cNvSpPr>
        </xdr:nvSpPr>
        <xdr:spPr>
          <a:xfrm>
            <a:off x="190" y="85"/>
            <a:ext cx="77" cy="66"/>
          </a:xfrm>
          <a:custGeom>
            <a:pathLst>
              <a:path h="656" w="771">
                <a:moveTo>
                  <a:pt x="386" y="0"/>
                </a:moveTo>
                <a:lnTo>
                  <a:pt x="0" y="656"/>
                </a:lnTo>
                <a:lnTo>
                  <a:pt x="771" y="656"/>
                </a:lnTo>
                <a:lnTo>
                  <a:pt x="386" y="0"/>
                </a:lnTo>
                <a:close/>
              </a:path>
            </a:pathLst>
          </a:custGeom>
          <a:solidFill>
            <a:srgbClr val="FFCC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AutoShape 82"/>
          <xdr:cNvSpPr>
            <a:spLocks noChangeAspect="1"/>
          </xdr:cNvSpPr>
        </xdr:nvSpPr>
        <xdr:spPr>
          <a:xfrm>
            <a:off x="195" y="90"/>
            <a:ext cx="72" cy="61"/>
          </a:xfrm>
          <a:custGeom>
            <a:pathLst>
              <a:path h="607" w="714">
                <a:moveTo>
                  <a:pt x="358" y="0"/>
                </a:moveTo>
                <a:lnTo>
                  <a:pt x="0" y="607"/>
                </a:lnTo>
                <a:lnTo>
                  <a:pt x="714" y="607"/>
                </a:lnTo>
                <a:lnTo>
                  <a:pt x="35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AutoShape 83"/>
          <xdr:cNvSpPr>
            <a:spLocks/>
          </xdr:cNvSpPr>
        </xdr:nvSpPr>
        <xdr:spPr>
          <a:xfrm>
            <a:off x="89" y="148"/>
            <a:ext cx="204" cy="7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0488" tIns="44450" rIns="90488" bIns="44450"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ASPHALT INSTITUTE
Marshall Mix Design
Program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781050</xdr:colOff>
      <xdr:row>1</xdr:row>
      <xdr:rowOff>38100</xdr:rowOff>
    </xdr:from>
    <xdr:to>
      <xdr:col>17</xdr:col>
      <xdr:colOff>28575</xdr:colOff>
      <xdr:row>3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295275"/>
          <a:ext cx="1285875" cy="71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190500</xdr:colOff>
      <xdr:row>1</xdr:row>
      <xdr:rowOff>85725</xdr:rowOff>
    </xdr:from>
    <xdr:to>
      <xdr:col>3</xdr:col>
      <xdr:colOff>581025</xdr:colOff>
      <xdr:row>8</xdr:row>
      <xdr:rowOff>190500</xdr:rowOff>
    </xdr:to>
    <xdr:grpSp>
      <xdr:nvGrpSpPr>
        <xdr:cNvPr id="2" name="Group 37"/>
        <xdr:cNvGrpSpPr>
          <a:grpSpLocks/>
        </xdr:cNvGrpSpPr>
      </xdr:nvGrpSpPr>
      <xdr:grpSpPr>
        <a:xfrm>
          <a:off x="809625" y="342900"/>
          <a:ext cx="1943100" cy="1905000"/>
          <a:chOff x="89" y="25"/>
          <a:chExt cx="204" cy="200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20" y="25"/>
            <a:ext cx="147" cy="126"/>
          </a:xfrm>
          <a:custGeom>
            <a:pathLst>
              <a:path h="1251" w="1473">
                <a:moveTo>
                  <a:pt x="736" y="0"/>
                </a:moveTo>
                <a:lnTo>
                  <a:pt x="0" y="1251"/>
                </a:lnTo>
                <a:lnTo>
                  <a:pt x="1473" y="1251"/>
                </a:lnTo>
                <a:lnTo>
                  <a:pt x="7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AutoShape 34"/>
          <xdr:cNvSpPr>
            <a:spLocks noChangeAspect="1"/>
          </xdr:cNvSpPr>
        </xdr:nvSpPr>
        <xdr:spPr>
          <a:xfrm>
            <a:off x="190" y="85"/>
            <a:ext cx="77" cy="66"/>
          </a:xfrm>
          <a:custGeom>
            <a:pathLst>
              <a:path h="656" w="771">
                <a:moveTo>
                  <a:pt x="386" y="0"/>
                </a:moveTo>
                <a:lnTo>
                  <a:pt x="0" y="656"/>
                </a:lnTo>
                <a:lnTo>
                  <a:pt x="771" y="656"/>
                </a:lnTo>
                <a:lnTo>
                  <a:pt x="386" y="0"/>
                </a:lnTo>
                <a:close/>
              </a:path>
            </a:pathLst>
          </a:custGeom>
          <a:solidFill>
            <a:srgbClr val="FFCC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AutoShape 35"/>
          <xdr:cNvSpPr>
            <a:spLocks noChangeAspect="1"/>
          </xdr:cNvSpPr>
        </xdr:nvSpPr>
        <xdr:spPr>
          <a:xfrm>
            <a:off x="195" y="90"/>
            <a:ext cx="72" cy="61"/>
          </a:xfrm>
          <a:custGeom>
            <a:pathLst>
              <a:path h="607" w="714">
                <a:moveTo>
                  <a:pt x="358" y="0"/>
                </a:moveTo>
                <a:lnTo>
                  <a:pt x="0" y="607"/>
                </a:lnTo>
                <a:lnTo>
                  <a:pt x="714" y="607"/>
                </a:lnTo>
                <a:lnTo>
                  <a:pt x="35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AutoShape 36"/>
          <xdr:cNvSpPr>
            <a:spLocks/>
          </xdr:cNvSpPr>
        </xdr:nvSpPr>
        <xdr:spPr>
          <a:xfrm>
            <a:off x="89" y="148"/>
            <a:ext cx="204" cy="7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90488" tIns="44450" rIns="90488" bIns="44450"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ASPHALT INSTITUTE
Marshall Mix Design
Program
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</cdr:y>
    </cdr:from>
    <cdr:to>
      <cdr:x>0.246</cdr:x>
      <cdr:y>0.16225</cdr:y>
    </cdr:to>
    <cdr:grpSp>
      <cdr:nvGrpSpPr>
        <cdr:cNvPr id="1" name="Group 1"/>
        <cdr:cNvGrpSpPr>
          <a:grpSpLocks/>
        </cdr:cNvGrpSpPr>
      </cdr:nvGrpSpPr>
      <cdr:grpSpPr>
        <a:xfrm>
          <a:off x="76200" y="0"/>
          <a:ext cx="933450" cy="647700"/>
          <a:chOff x="2360" y="4555"/>
          <a:chExt cx="441" cy="340"/>
        </a:xfrm>
        <a:solidFill>
          <a:srgbClr val="FFFFFF"/>
        </a:solidFill>
      </cdr:grpSpPr>
      <cdr:grpSp>
        <cdr:nvGrpSpPr>
          <cdr:cNvPr id="2" name="Group 2"/>
          <cdr:cNvGrpSpPr>
            <a:grpSpLocks noChangeAspect="1"/>
          </cdr:cNvGrpSpPr>
        </cdr:nvGrpSpPr>
        <cdr:grpSpPr>
          <a:xfrm>
            <a:off x="2434" y="4555"/>
            <a:ext cx="294" cy="250"/>
            <a:chOff x="878" y="240"/>
            <a:chExt cx="1473" cy="1251"/>
          </a:xfrm>
          <a:solidFill>
            <a:srgbClr val="FFFFFF"/>
          </a:solidFill>
        </cdr:grpSpPr>
        <cdr:sp>
          <cdr:nvSpPr>
            <cdr:cNvPr id="3" name="AutoShape 3"/>
            <cdr:cNvSpPr>
              <a:spLocks noChangeAspect="1"/>
            </cdr:cNvSpPr>
          </cdr:nvSpPr>
          <cdr:spPr>
            <a:xfrm>
              <a:off x="878" y="240"/>
              <a:ext cx="1473" cy="1251"/>
            </a:xfrm>
            <a:custGeom>
              <a:pathLst>
                <a:path h="1251" w="1473">
                  <a:moveTo>
                    <a:pt x="736" y="0"/>
                  </a:moveTo>
                  <a:lnTo>
                    <a:pt x="0" y="1251"/>
                  </a:lnTo>
                  <a:lnTo>
                    <a:pt x="1473" y="1251"/>
                  </a:lnTo>
                  <a:lnTo>
                    <a:pt x="736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4" name="AutoShape 4"/>
            <cdr:cNvSpPr>
              <a:spLocks noChangeAspect="1"/>
            </cdr:cNvSpPr>
          </cdr:nvSpPr>
          <cdr:spPr>
            <a:xfrm>
              <a:off x="1580" y="831"/>
              <a:ext cx="771" cy="660"/>
            </a:xfrm>
            <a:custGeom>
              <a:pathLst>
                <a:path h="656" w="771">
                  <a:moveTo>
                    <a:pt x="386" y="0"/>
                  </a:moveTo>
                  <a:lnTo>
                    <a:pt x="0" y="656"/>
                  </a:lnTo>
                  <a:lnTo>
                    <a:pt x="771" y="656"/>
                  </a:lnTo>
                  <a:lnTo>
                    <a:pt x="386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5" name="AutoShape 5"/>
            <cdr:cNvSpPr>
              <a:spLocks noChangeAspect="1"/>
            </cdr:cNvSpPr>
          </cdr:nvSpPr>
          <cdr:spPr>
            <a:xfrm>
              <a:off x="1637" y="884"/>
              <a:ext cx="714" cy="607"/>
            </a:xfrm>
            <a:custGeom>
              <a:pathLst>
                <a:path h="607" w="714">
                  <a:moveTo>
                    <a:pt x="358" y="0"/>
                  </a:moveTo>
                  <a:lnTo>
                    <a:pt x="0" y="607"/>
                  </a:lnTo>
                  <a:lnTo>
                    <a:pt x="714" y="607"/>
                  </a:lnTo>
                  <a:lnTo>
                    <a:pt x="35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</cdr:grpSp>
      <cdr:sp>
        <cdr:nvSpPr>
          <cdr:cNvPr id="6" name="AutoShape 6"/>
          <cdr:cNvSpPr>
            <a:spLocks/>
          </cdr:cNvSpPr>
        </cdr:nvSpPr>
        <cdr:spPr>
          <a:xfrm>
            <a:off x="2360" y="4801"/>
            <a:ext cx="441" cy="94"/>
          </a:xfrm>
          <a:prstGeom prst="rect">
            <a:avLst/>
          </a:prstGeom>
          <a:noFill/>
          <a:ln w="12700" cmpd="sng">
            <a:noFill/>
          </a:ln>
        </cdr:spPr>
        <cdr:txBody>
          <a:bodyPr vertOverflow="clip" wrap="square" lIns="90488" tIns="44450" rIns="90488" bIns="44450"/>
          <a:p>
            <a:pPr algn="l">
              <a:defRPr/>
            </a:pPr>
            <a:r>
              <a:rPr lang="en-US" cap="none" sz="400" b="0" i="1" u="none" baseline="0">
                <a:solidFill>
                  <a:srgbClr val="000000"/>
                </a:solidFill>
              </a:rPr>
              <a:t>ASPHALT INSTITUTE
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0.194</cdr:x>
      <cdr:y>0.13875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800100" cy="552450"/>
          <a:chOff x="2360" y="4555"/>
          <a:chExt cx="441" cy="340"/>
        </a:xfrm>
        <a:solidFill>
          <a:srgbClr val="FFFFFF"/>
        </a:solidFill>
      </cdr:grpSpPr>
      <cdr:grpSp>
        <cdr:nvGrpSpPr>
          <cdr:cNvPr id="2" name="Group 2"/>
          <cdr:cNvGrpSpPr>
            <a:grpSpLocks noChangeAspect="1"/>
          </cdr:cNvGrpSpPr>
        </cdr:nvGrpSpPr>
        <cdr:grpSpPr>
          <a:xfrm>
            <a:off x="2434" y="4555"/>
            <a:ext cx="294" cy="250"/>
            <a:chOff x="878" y="240"/>
            <a:chExt cx="1473" cy="1251"/>
          </a:xfrm>
          <a:solidFill>
            <a:srgbClr val="FFFFFF"/>
          </a:solidFill>
        </cdr:grpSpPr>
        <cdr:sp>
          <cdr:nvSpPr>
            <cdr:cNvPr id="3" name="AutoShape 3"/>
            <cdr:cNvSpPr>
              <a:spLocks noChangeAspect="1"/>
            </cdr:cNvSpPr>
          </cdr:nvSpPr>
          <cdr:spPr>
            <a:xfrm>
              <a:off x="878" y="240"/>
              <a:ext cx="1473" cy="1251"/>
            </a:xfrm>
            <a:custGeom>
              <a:pathLst>
                <a:path h="1251" w="1473">
                  <a:moveTo>
                    <a:pt x="736" y="0"/>
                  </a:moveTo>
                  <a:lnTo>
                    <a:pt x="0" y="1251"/>
                  </a:lnTo>
                  <a:lnTo>
                    <a:pt x="1473" y="1251"/>
                  </a:lnTo>
                  <a:lnTo>
                    <a:pt x="736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4" name="AutoShape 4"/>
            <cdr:cNvSpPr>
              <a:spLocks noChangeAspect="1"/>
            </cdr:cNvSpPr>
          </cdr:nvSpPr>
          <cdr:spPr>
            <a:xfrm>
              <a:off x="1580" y="831"/>
              <a:ext cx="771" cy="660"/>
            </a:xfrm>
            <a:custGeom>
              <a:pathLst>
                <a:path h="656" w="771">
                  <a:moveTo>
                    <a:pt x="386" y="0"/>
                  </a:moveTo>
                  <a:lnTo>
                    <a:pt x="0" y="656"/>
                  </a:lnTo>
                  <a:lnTo>
                    <a:pt x="771" y="656"/>
                  </a:lnTo>
                  <a:lnTo>
                    <a:pt x="386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5" name="AutoShape 5"/>
            <cdr:cNvSpPr>
              <a:spLocks noChangeAspect="1"/>
            </cdr:cNvSpPr>
          </cdr:nvSpPr>
          <cdr:spPr>
            <a:xfrm>
              <a:off x="1637" y="884"/>
              <a:ext cx="714" cy="607"/>
            </a:xfrm>
            <a:custGeom>
              <a:pathLst>
                <a:path h="607" w="714">
                  <a:moveTo>
                    <a:pt x="358" y="0"/>
                  </a:moveTo>
                  <a:lnTo>
                    <a:pt x="0" y="607"/>
                  </a:lnTo>
                  <a:lnTo>
                    <a:pt x="714" y="607"/>
                  </a:lnTo>
                  <a:lnTo>
                    <a:pt x="35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</cdr:grpSp>
      <cdr:sp>
        <cdr:nvSpPr>
          <cdr:cNvPr id="6" name="AutoShape 6"/>
          <cdr:cNvSpPr>
            <a:spLocks/>
          </cdr:cNvSpPr>
        </cdr:nvSpPr>
        <cdr:spPr>
          <a:xfrm>
            <a:off x="2360" y="4801"/>
            <a:ext cx="441" cy="94"/>
          </a:xfrm>
          <a:prstGeom prst="rect">
            <a:avLst/>
          </a:prstGeom>
          <a:noFill/>
          <a:ln w="12700" cmpd="sng">
            <a:noFill/>
          </a:ln>
        </cdr:spPr>
        <cdr:txBody>
          <a:bodyPr vertOverflow="clip" wrap="square" lIns="90488" tIns="44450" rIns="90488" bIns="44450"/>
          <a:p>
            <a:pPr algn="l">
              <a:defRPr/>
            </a:pPr>
            <a:r>
              <a:rPr lang="en-US" cap="none" sz="400" b="0" i="1" u="none" baseline="0">
                <a:solidFill>
                  <a:srgbClr val="000000"/>
                </a:solidFill>
              </a:rPr>
              <a:t>ASPHALT INSTITUTE
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0.18825</cdr:x>
      <cdr:y>0.1345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781050" cy="542925"/>
          <a:chOff x="2360" y="4555"/>
          <a:chExt cx="441" cy="340"/>
        </a:xfrm>
        <a:solidFill>
          <a:srgbClr val="FFFFFF"/>
        </a:solidFill>
      </cdr:grpSpPr>
      <cdr:grpSp>
        <cdr:nvGrpSpPr>
          <cdr:cNvPr id="2" name="Group 2"/>
          <cdr:cNvGrpSpPr>
            <a:grpSpLocks noChangeAspect="1"/>
          </cdr:cNvGrpSpPr>
        </cdr:nvGrpSpPr>
        <cdr:grpSpPr>
          <a:xfrm>
            <a:off x="2434" y="4555"/>
            <a:ext cx="294" cy="250"/>
            <a:chOff x="878" y="240"/>
            <a:chExt cx="1473" cy="1251"/>
          </a:xfrm>
          <a:solidFill>
            <a:srgbClr val="FFFFFF"/>
          </a:solidFill>
        </cdr:grpSpPr>
        <cdr:sp>
          <cdr:nvSpPr>
            <cdr:cNvPr id="3" name="AutoShape 3"/>
            <cdr:cNvSpPr>
              <a:spLocks noChangeAspect="1"/>
            </cdr:cNvSpPr>
          </cdr:nvSpPr>
          <cdr:spPr>
            <a:xfrm>
              <a:off x="878" y="240"/>
              <a:ext cx="1473" cy="1251"/>
            </a:xfrm>
            <a:custGeom>
              <a:pathLst>
                <a:path h="1251" w="1473">
                  <a:moveTo>
                    <a:pt x="736" y="0"/>
                  </a:moveTo>
                  <a:lnTo>
                    <a:pt x="0" y="1251"/>
                  </a:lnTo>
                  <a:lnTo>
                    <a:pt x="1473" y="1251"/>
                  </a:lnTo>
                  <a:lnTo>
                    <a:pt x="736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4" name="AutoShape 4"/>
            <cdr:cNvSpPr>
              <a:spLocks noChangeAspect="1"/>
            </cdr:cNvSpPr>
          </cdr:nvSpPr>
          <cdr:spPr>
            <a:xfrm>
              <a:off x="1580" y="831"/>
              <a:ext cx="771" cy="660"/>
            </a:xfrm>
            <a:custGeom>
              <a:pathLst>
                <a:path h="656" w="771">
                  <a:moveTo>
                    <a:pt x="386" y="0"/>
                  </a:moveTo>
                  <a:lnTo>
                    <a:pt x="0" y="656"/>
                  </a:lnTo>
                  <a:lnTo>
                    <a:pt x="771" y="656"/>
                  </a:lnTo>
                  <a:lnTo>
                    <a:pt x="386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5" name="AutoShape 5"/>
            <cdr:cNvSpPr>
              <a:spLocks noChangeAspect="1"/>
            </cdr:cNvSpPr>
          </cdr:nvSpPr>
          <cdr:spPr>
            <a:xfrm>
              <a:off x="1637" y="884"/>
              <a:ext cx="714" cy="607"/>
            </a:xfrm>
            <a:custGeom>
              <a:pathLst>
                <a:path h="607" w="714">
                  <a:moveTo>
                    <a:pt x="358" y="0"/>
                  </a:moveTo>
                  <a:lnTo>
                    <a:pt x="0" y="607"/>
                  </a:lnTo>
                  <a:lnTo>
                    <a:pt x="714" y="607"/>
                  </a:lnTo>
                  <a:lnTo>
                    <a:pt x="35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</cdr:grpSp>
      <cdr:sp>
        <cdr:nvSpPr>
          <cdr:cNvPr id="6" name="AutoShape 6"/>
          <cdr:cNvSpPr>
            <a:spLocks/>
          </cdr:cNvSpPr>
        </cdr:nvSpPr>
        <cdr:spPr>
          <a:xfrm>
            <a:off x="2360" y="4801"/>
            <a:ext cx="441" cy="94"/>
          </a:xfrm>
          <a:prstGeom prst="rect">
            <a:avLst/>
          </a:prstGeom>
          <a:noFill/>
          <a:ln w="12700" cmpd="sng">
            <a:noFill/>
          </a:ln>
        </cdr:spPr>
        <cdr:txBody>
          <a:bodyPr vertOverflow="clip" wrap="square" lIns="90488" tIns="44450" rIns="90488" bIns="44450"/>
          <a:p>
            <a:pPr algn="l">
              <a:defRPr/>
            </a:pPr>
            <a:r>
              <a:rPr lang="en-US" cap="none" sz="400" b="0" i="1" u="none" baseline="0">
                <a:solidFill>
                  <a:srgbClr val="000000"/>
                </a:solidFill>
              </a:rPr>
              <a:t>ASPHALT INSTITUTE
</a:t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0.1715</cdr:x>
      <cdr:y>0.13425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704850" cy="542925"/>
          <a:chOff x="2360" y="4555"/>
          <a:chExt cx="441" cy="340"/>
        </a:xfrm>
        <a:solidFill>
          <a:srgbClr val="FFFFFF"/>
        </a:solidFill>
      </cdr:grpSpPr>
      <cdr:grpSp>
        <cdr:nvGrpSpPr>
          <cdr:cNvPr id="2" name="Group 2"/>
          <cdr:cNvGrpSpPr>
            <a:grpSpLocks noChangeAspect="1"/>
          </cdr:cNvGrpSpPr>
        </cdr:nvGrpSpPr>
        <cdr:grpSpPr>
          <a:xfrm>
            <a:off x="2434" y="4555"/>
            <a:ext cx="294" cy="250"/>
            <a:chOff x="878" y="240"/>
            <a:chExt cx="1473" cy="1251"/>
          </a:xfrm>
          <a:solidFill>
            <a:srgbClr val="FFFFFF"/>
          </a:solidFill>
        </cdr:grpSpPr>
        <cdr:sp>
          <cdr:nvSpPr>
            <cdr:cNvPr id="3" name="AutoShape 3"/>
            <cdr:cNvSpPr>
              <a:spLocks noChangeAspect="1"/>
            </cdr:cNvSpPr>
          </cdr:nvSpPr>
          <cdr:spPr>
            <a:xfrm>
              <a:off x="878" y="240"/>
              <a:ext cx="1473" cy="1251"/>
            </a:xfrm>
            <a:custGeom>
              <a:pathLst>
                <a:path h="1251" w="1473">
                  <a:moveTo>
                    <a:pt x="736" y="0"/>
                  </a:moveTo>
                  <a:lnTo>
                    <a:pt x="0" y="1251"/>
                  </a:lnTo>
                  <a:lnTo>
                    <a:pt x="1473" y="1251"/>
                  </a:lnTo>
                  <a:lnTo>
                    <a:pt x="736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4" name="AutoShape 4"/>
            <cdr:cNvSpPr>
              <a:spLocks noChangeAspect="1"/>
            </cdr:cNvSpPr>
          </cdr:nvSpPr>
          <cdr:spPr>
            <a:xfrm>
              <a:off x="1580" y="831"/>
              <a:ext cx="771" cy="660"/>
            </a:xfrm>
            <a:custGeom>
              <a:pathLst>
                <a:path h="656" w="771">
                  <a:moveTo>
                    <a:pt x="386" y="0"/>
                  </a:moveTo>
                  <a:lnTo>
                    <a:pt x="0" y="656"/>
                  </a:lnTo>
                  <a:lnTo>
                    <a:pt x="771" y="656"/>
                  </a:lnTo>
                  <a:lnTo>
                    <a:pt x="386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5" name="AutoShape 5"/>
            <cdr:cNvSpPr>
              <a:spLocks noChangeAspect="1"/>
            </cdr:cNvSpPr>
          </cdr:nvSpPr>
          <cdr:spPr>
            <a:xfrm>
              <a:off x="1637" y="884"/>
              <a:ext cx="714" cy="607"/>
            </a:xfrm>
            <a:custGeom>
              <a:pathLst>
                <a:path h="607" w="714">
                  <a:moveTo>
                    <a:pt x="358" y="0"/>
                  </a:moveTo>
                  <a:lnTo>
                    <a:pt x="0" y="607"/>
                  </a:lnTo>
                  <a:lnTo>
                    <a:pt x="714" y="607"/>
                  </a:lnTo>
                  <a:lnTo>
                    <a:pt x="35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</cdr:grpSp>
      <cdr:sp>
        <cdr:nvSpPr>
          <cdr:cNvPr id="6" name="AutoShape 6"/>
          <cdr:cNvSpPr>
            <a:spLocks/>
          </cdr:cNvSpPr>
        </cdr:nvSpPr>
        <cdr:spPr>
          <a:xfrm>
            <a:off x="2360" y="4801"/>
            <a:ext cx="441" cy="94"/>
          </a:xfrm>
          <a:prstGeom prst="rect">
            <a:avLst/>
          </a:prstGeom>
          <a:noFill/>
          <a:ln w="12700" cmpd="sng">
            <a:noFill/>
          </a:ln>
        </cdr:spPr>
        <cdr:txBody>
          <a:bodyPr vertOverflow="clip" wrap="square" lIns="90488" tIns="44450" rIns="90488" bIns="44450"/>
          <a:p>
            <a:pPr algn="l">
              <a:defRPr/>
            </a:pPr>
            <a:r>
              <a:rPr lang="en-US" cap="none" sz="400" b="0" i="1" u="none" baseline="0">
                <a:solidFill>
                  <a:srgbClr val="000000"/>
                </a:solidFill>
              </a:rPr>
              <a:t>ASPHALT INSTITUTE
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0.18975</cdr:x>
      <cdr:y>0.15025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781050" cy="600075"/>
          <a:chOff x="2360" y="4555"/>
          <a:chExt cx="441" cy="340"/>
        </a:xfrm>
        <a:solidFill>
          <a:srgbClr val="FFFFFF"/>
        </a:solidFill>
      </cdr:grpSpPr>
      <cdr:grpSp>
        <cdr:nvGrpSpPr>
          <cdr:cNvPr id="2" name="Group 2"/>
          <cdr:cNvGrpSpPr>
            <a:grpSpLocks noChangeAspect="1"/>
          </cdr:cNvGrpSpPr>
        </cdr:nvGrpSpPr>
        <cdr:grpSpPr>
          <a:xfrm>
            <a:off x="2434" y="4555"/>
            <a:ext cx="294" cy="250"/>
            <a:chOff x="878" y="240"/>
            <a:chExt cx="1473" cy="1251"/>
          </a:xfrm>
          <a:solidFill>
            <a:srgbClr val="FFFFFF"/>
          </a:solidFill>
        </cdr:grpSpPr>
        <cdr:sp>
          <cdr:nvSpPr>
            <cdr:cNvPr id="3" name="AutoShape 3"/>
            <cdr:cNvSpPr>
              <a:spLocks noChangeAspect="1"/>
            </cdr:cNvSpPr>
          </cdr:nvSpPr>
          <cdr:spPr>
            <a:xfrm>
              <a:off x="878" y="240"/>
              <a:ext cx="1473" cy="1251"/>
            </a:xfrm>
            <a:custGeom>
              <a:pathLst>
                <a:path h="1251" w="1473">
                  <a:moveTo>
                    <a:pt x="736" y="0"/>
                  </a:moveTo>
                  <a:lnTo>
                    <a:pt x="0" y="1251"/>
                  </a:lnTo>
                  <a:lnTo>
                    <a:pt x="1473" y="1251"/>
                  </a:lnTo>
                  <a:lnTo>
                    <a:pt x="736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4" name="AutoShape 4"/>
            <cdr:cNvSpPr>
              <a:spLocks noChangeAspect="1"/>
            </cdr:cNvSpPr>
          </cdr:nvSpPr>
          <cdr:spPr>
            <a:xfrm>
              <a:off x="1580" y="831"/>
              <a:ext cx="771" cy="660"/>
            </a:xfrm>
            <a:custGeom>
              <a:pathLst>
                <a:path h="656" w="771">
                  <a:moveTo>
                    <a:pt x="386" y="0"/>
                  </a:moveTo>
                  <a:lnTo>
                    <a:pt x="0" y="656"/>
                  </a:lnTo>
                  <a:lnTo>
                    <a:pt x="771" y="656"/>
                  </a:lnTo>
                  <a:lnTo>
                    <a:pt x="386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  <cdr:sp>
          <cdr:nvSpPr>
            <cdr:cNvPr id="5" name="AutoShape 5"/>
            <cdr:cNvSpPr>
              <a:spLocks noChangeAspect="1"/>
            </cdr:cNvSpPr>
          </cdr:nvSpPr>
          <cdr:spPr>
            <a:xfrm>
              <a:off x="1637" y="884"/>
              <a:ext cx="714" cy="607"/>
            </a:xfrm>
            <a:custGeom>
              <a:pathLst>
                <a:path h="607" w="714">
                  <a:moveTo>
                    <a:pt x="358" y="0"/>
                  </a:moveTo>
                  <a:lnTo>
                    <a:pt x="0" y="607"/>
                  </a:lnTo>
                  <a:lnTo>
                    <a:pt x="714" y="607"/>
                  </a:lnTo>
                  <a:lnTo>
                    <a:pt x="35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cdr:txBody>
        </cdr:sp>
      </cdr:grpSp>
      <cdr:sp>
        <cdr:nvSpPr>
          <cdr:cNvPr id="6" name="AutoShape 6"/>
          <cdr:cNvSpPr>
            <a:spLocks/>
          </cdr:cNvSpPr>
        </cdr:nvSpPr>
        <cdr:spPr>
          <a:xfrm>
            <a:off x="2360" y="4801"/>
            <a:ext cx="441" cy="94"/>
          </a:xfrm>
          <a:prstGeom prst="rect">
            <a:avLst/>
          </a:prstGeom>
          <a:noFill/>
          <a:ln w="12700" cmpd="sng">
            <a:noFill/>
          </a:ln>
        </cdr:spPr>
        <cdr:txBody>
          <a:bodyPr vertOverflow="clip" wrap="square" lIns="90488" tIns="44450" rIns="90488" bIns="44450"/>
          <a:p>
            <a:pPr algn="l">
              <a:defRPr/>
            </a:pPr>
            <a:r>
              <a:rPr lang="en-US" cap="none" sz="400" b="0" i="1" u="none" baseline="0">
                <a:solidFill>
                  <a:srgbClr val="000000"/>
                </a:solidFill>
              </a:rPr>
              <a:t>ASPHALT INSTITUTE
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A1:AL38"/>
  <sheetViews>
    <sheetView showGridLines="0" showRowColHeaders="0" showZeros="0" showOutlineSymbols="0" workbookViewId="0" topLeftCell="A1">
      <selection activeCell="D13" sqref="D13:G13"/>
    </sheetView>
  </sheetViews>
  <sheetFormatPr defaultColWidth="9.00390625" defaultRowHeight="15.75"/>
  <cols>
    <col min="8" max="8" width="12.625" style="0" bestFit="1" customWidth="1"/>
  </cols>
  <sheetData>
    <row r="1" spans="1:19" ht="16.5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36"/>
    </row>
    <row r="2" spans="1:38" ht="21" thickBot="1">
      <c r="A2" s="141"/>
      <c r="B2" s="141"/>
      <c r="C2" s="142" t="s">
        <v>0</v>
      </c>
      <c r="D2" s="651" t="s">
        <v>309</v>
      </c>
      <c r="E2" s="652"/>
      <c r="F2" s="652"/>
      <c r="G2" s="652"/>
      <c r="H2" s="652"/>
      <c r="I2" s="652"/>
      <c r="J2" s="653"/>
      <c r="K2" s="141"/>
      <c r="L2" s="141"/>
      <c r="M2" s="141"/>
      <c r="N2" s="141"/>
      <c r="O2" s="141"/>
      <c r="P2" s="141"/>
      <c r="Q2" s="141"/>
      <c r="R2" s="141"/>
      <c r="S2" s="1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1" thickBot="1">
      <c r="A3" s="141"/>
      <c r="B3" s="141"/>
      <c r="C3" s="142" t="s">
        <v>1</v>
      </c>
      <c r="D3" s="651" t="s">
        <v>310</v>
      </c>
      <c r="E3" s="652"/>
      <c r="F3" s="652"/>
      <c r="G3" s="652"/>
      <c r="H3" s="652"/>
      <c r="I3" s="652"/>
      <c r="J3" s="653"/>
      <c r="K3" s="141"/>
      <c r="L3" s="141"/>
      <c r="M3" s="141"/>
      <c r="N3" s="141"/>
      <c r="O3" s="141"/>
      <c r="P3" s="141"/>
      <c r="Q3" s="141"/>
      <c r="R3" s="141"/>
      <c r="S3" s="1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" thickBot="1">
      <c r="A4" s="141"/>
      <c r="B4" s="141"/>
      <c r="C4" s="142" t="s">
        <v>2</v>
      </c>
      <c r="D4" s="651" t="s">
        <v>311</v>
      </c>
      <c r="E4" s="652"/>
      <c r="F4" s="652"/>
      <c r="G4" s="652"/>
      <c r="H4" s="652"/>
      <c r="I4" s="652"/>
      <c r="J4" s="653"/>
      <c r="K4" s="141"/>
      <c r="L4" s="141"/>
      <c r="M4" s="141"/>
      <c r="N4" s="141"/>
      <c r="O4" s="141"/>
      <c r="P4" s="141"/>
      <c r="Q4" s="141"/>
      <c r="R4" s="141"/>
      <c r="S4" s="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20.25">
      <c r="A6" s="141"/>
      <c r="B6" s="141"/>
      <c r="C6" s="143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6.25" thickBot="1">
      <c r="A7" s="141"/>
      <c r="B7" s="141"/>
      <c r="C7" s="143"/>
      <c r="D7" s="660" t="s">
        <v>3</v>
      </c>
      <c r="E7" s="660"/>
      <c r="F7" s="660"/>
      <c r="G7" s="660"/>
      <c r="H7" s="144" t="s">
        <v>242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1" thickBot="1">
      <c r="A8" s="141"/>
      <c r="B8" s="141"/>
      <c r="C8" s="142" t="s">
        <v>4</v>
      </c>
      <c r="D8" s="657" t="s">
        <v>312</v>
      </c>
      <c r="E8" s="658"/>
      <c r="F8" s="658"/>
      <c r="G8" s="659"/>
      <c r="H8" s="50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21" thickBot="1">
      <c r="A9" s="141"/>
      <c r="B9" s="141"/>
      <c r="C9" s="142" t="s">
        <v>5</v>
      </c>
      <c r="D9" s="657" t="s">
        <v>313</v>
      </c>
      <c r="E9" s="658"/>
      <c r="F9" s="658"/>
      <c r="G9" s="659"/>
      <c r="H9" s="5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21" thickBot="1">
      <c r="A10" s="141"/>
      <c r="B10" s="141"/>
      <c r="C10" s="142" t="s">
        <v>6</v>
      </c>
      <c r="D10" s="657" t="s">
        <v>314</v>
      </c>
      <c r="E10" s="658"/>
      <c r="F10" s="658"/>
      <c r="G10" s="659"/>
      <c r="H10" s="5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1" thickBot="1">
      <c r="A11" s="141"/>
      <c r="B11" s="141"/>
      <c r="C11" s="142" t="s">
        <v>7</v>
      </c>
      <c r="D11" s="657" t="s">
        <v>319</v>
      </c>
      <c r="E11" s="658"/>
      <c r="F11" s="658"/>
      <c r="G11" s="659"/>
      <c r="H11" s="5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1" thickBot="1">
      <c r="A12" s="141"/>
      <c r="B12" s="141"/>
      <c r="C12" s="142" t="s">
        <v>8</v>
      </c>
      <c r="D12" s="657" t="s">
        <v>315</v>
      </c>
      <c r="E12" s="658"/>
      <c r="F12" s="658"/>
      <c r="G12" s="659"/>
      <c r="H12" s="5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1" thickBot="1">
      <c r="A13" s="141"/>
      <c r="B13" s="141"/>
      <c r="C13" s="142" t="s">
        <v>9</v>
      </c>
      <c r="D13" s="657" t="s">
        <v>316</v>
      </c>
      <c r="E13" s="658"/>
      <c r="F13" s="658"/>
      <c r="G13" s="659"/>
      <c r="H13" s="5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1" thickBot="1">
      <c r="A14" s="141"/>
      <c r="B14" s="141"/>
      <c r="C14" s="142" t="s">
        <v>10</v>
      </c>
      <c r="D14" s="657" t="s">
        <v>317</v>
      </c>
      <c r="E14" s="658"/>
      <c r="F14" s="658"/>
      <c r="G14" s="659"/>
      <c r="H14" s="5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1" thickBot="1">
      <c r="A15" s="141"/>
      <c r="B15" s="141"/>
      <c r="C15" s="142" t="s">
        <v>11</v>
      </c>
      <c r="D15" s="657" t="s">
        <v>318</v>
      </c>
      <c r="E15" s="658"/>
      <c r="F15" s="658"/>
      <c r="G15" s="659"/>
      <c r="H15" s="5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1" thickBot="1">
      <c r="A16" s="141"/>
      <c r="B16" s="141"/>
      <c r="C16" s="142" t="s">
        <v>12</v>
      </c>
      <c r="D16" s="657"/>
      <c r="E16" s="658"/>
      <c r="F16" s="658"/>
      <c r="G16" s="659"/>
      <c r="H16" s="5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1" thickBot="1">
      <c r="A17" s="141"/>
      <c r="B17" s="141"/>
      <c r="C17" s="142" t="s">
        <v>13</v>
      </c>
      <c r="D17" s="657"/>
      <c r="E17" s="658"/>
      <c r="F17" s="658"/>
      <c r="G17" s="659"/>
      <c r="H17" s="5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1" thickBot="1">
      <c r="A18" s="141"/>
      <c r="B18" s="141"/>
      <c r="C18" s="141"/>
      <c r="D18" s="654" t="s">
        <v>243</v>
      </c>
      <c r="E18" s="655"/>
      <c r="F18" s="655"/>
      <c r="G18" s="656"/>
      <c r="H18" s="5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5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5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5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5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19" ht="15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6"/>
    </row>
    <row r="34" spans="1:19" ht="15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6"/>
    </row>
    <row r="35" spans="1:19" ht="15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6"/>
    </row>
    <row r="36" spans="1:19" ht="15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6"/>
    </row>
    <row r="37" spans="1:19" ht="15.7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ht="15.7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</sheetData>
  <sheetProtection password="C9C1" sheet="1" objects="1" scenarios="1"/>
  <mergeCells count="15">
    <mergeCell ref="D13:G13"/>
    <mergeCell ref="D16:G16"/>
    <mergeCell ref="D17:G17"/>
    <mergeCell ref="D14:G14"/>
    <mergeCell ref="D15:G15"/>
    <mergeCell ref="D2:J2"/>
    <mergeCell ref="D3:J3"/>
    <mergeCell ref="D18:G18"/>
    <mergeCell ref="D4:J4"/>
    <mergeCell ref="D12:G12"/>
    <mergeCell ref="D8:G8"/>
    <mergeCell ref="D9:G9"/>
    <mergeCell ref="D10:G10"/>
    <mergeCell ref="D11:G11"/>
    <mergeCell ref="D7:G7"/>
  </mergeCells>
  <printOptions/>
  <pageMargins left="0.56" right="0.42" top="1" bottom="1" header="0.5" footer="0.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3"/>
    <pageSetUpPr fitToPage="1"/>
  </sheetPr>
  <dimension ref="A1:AV176"/>
  <sheetViews>
    <sheetView showGridLines="0" showZeros="0" tabSelected="1" showOutlineSymbols="0" zoomScale="75" zoomScaleNormal="75" workbookViewId="0" topLeftCell="A10">
      <selection activeCell="H16" sqref="H16"/>
    </sheetView>
  </sheetViews>
  <sheetFormatPr defaultColWidth="9.00390625" defaultRowHeight="15.75"/>
  <cols>
    <col min="1" max="1" width="8.25390625" style="11" customWidth="1"/>
    <col min="2" max="2" width="8.375" style="11" hidden="1" customWidth="1"/>
    <col min="3" max="3" width="8.00390625" style="11" customWidth="1"/>
    <col min="4" max="4" width="9.375" style="11" customWidth="1"/>
    <col min="5" max="5" width="10.125" style="11" bestFit="1" customWidth="1"/>
    <col min="6" max="14" width="11.25390625" style="11" customWidth="1"/>
    <col min="15" max="15" width="10.75390625" style="11" customWidth="1"/>
    <col min="16" max="18" width="8.00390625" style="11" customWidth="1"/>
    <col min="19" max="19" width="9.00390625" style="11" customWidth="1"/>
    <col min="20" max="21" width="8.00390625" style="11" customWidth="1"/>
    <col min="22" max="22" width="9.125" style="11" customWidth="1"/>
    <col min="23" max="32" width="8.00390625" style="11" customWidth="1"/>
    <col min="33" max="33" width="8.00390625" style="87" customWidth="1"/>
    <col min="34" max="36" width="8.00390625" style="11" customWidth="1"/>
    <col min="37" max="37" width="8.75390625" style="11" customWidth="1"/>
    <col min="38" max="16384" width="8.00390625" style="11" customWidth="1"/>
  </cols>
  <sheetData>
    <row r="1" ht="12.75">
      <c r="R1" s="87"/>
    </row>
    <row r="2" spans="1:48" ht="20.25">
      <c r="A2" s="145"/>
      <c r="B2" s="145"/>
      <c r="C2" s="145"/>
      <c r="D2" s="146" t="s">
        <v>0</v>
      </c>
      <c r="E2" s="147" t="str">
        <f>'Project Info.'!D2</f>
        <v>Diseño MAC Rodadura Calles del Sur</v>
      </c>
      <c r="F2" s="148"/>
      <c r="G2" s="148"/>
      <c r="H2" s="148"/>
      <c r="I2" s="148"/>
      <c r="J2" s="148"/>
      <c r="K2" s="149"/>
      <c r="L2" s="145"/>
      <c r="M2" s="145"/>
      <c r="N2" s="145"/>
      <c r="O2" s="145"/>
      <c r="P2" s="145"/>
      <c r="Q2" s="145"/>
      <c r="R2" s="150"/>
      <c r="S2" s="145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0"/>
      <c r="AH2" s="151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</row>
    <row r="3" spans="1:48" ht="20.25">
      <c r="A3" s="145"/>
      <c r="B3" s="145"/>
      <c r="C3" s="145"/>
      <c r="D3" s="146" t="s">
        <v>1</v>
      </c>
      <c r="E3" s="147" t="str">
        <f>'Project Info.'!D3</f>
        <v>Planta TIBURCIO</v>
      </c>
      <c r="F3" s="148"/>
      <c r="G3" s="148"/>
      <c r="H3" s="148"/>
      <c r="I3" s="148"/>
      <c r="J3" s="148"/>
      <c r="K3" s="149"/>
      <c r="L3" s="145"/>
      <c r="M3" s="145"/>
      <c r="N3" s="145"/>
      <c r="O3" s="145"/>
      <c r="P3" s="145"/>
      <c r="Q3" s="145"/>
      <c r="R3" s="150"/>
      <c r="S3" s="145"/>
      <c r="T3" s="151"/>
      <c r="U3" s="151"/>
      <c r="V3" s="152" t="s">
        <v>0</v>
      </c>
      <c r="W3" s="153" t="str">
        <f>'Project Info.'!$D$2</f>
        <v>Diseño MAC Rodadura Calles del Sur</v>
      </c>
      <c r="X3" s="154"/>
      <c r="Y3" s="154"/>
      <c r="Z3" s="154"/>
      <c r="AA3" s="154"/>
      <c r="AB3" s="151"/>
      <c r="AC3" s="151"/>
      <c r="AD3" s="151"/>
      <c r="AE3" s="151"/>
      <c r="AF3" s="151"/>
      <c r="AG3" s="150"/>
      <c r="AH3" s="151"/>
      <c r="AI3" s="145"/>
      <c r="AJ3" s="155"/>
      <c r="AK3" s="156" t="s">
        <v>0</v>
      </c>
      <c r="AL3" s="153" t="str">
        <f>'Project Info.'!$D$2</f>
        <v>Diseño MAC Rodadura Calles del Sur</v>
      </c>
      <c r="AM3" s="154"/>
      <c r="AN3" s="154"/>
      <c r="AO3" s="154"/>
      <c r="AP3" s="154"/>
      <c r="AQ3" s="154"/>
      <c r="AR3" s="145"/>
      <c r="AS3" s="145"/>
      <c r="AT3" s="145"/>
      <c r="AU3" s="145"/>
      <c r="AV3" s="145"/>
    </row>
    <row r="4" spans="1:48" ht="20.25">
      <c r="A4" s="145"/>
      <c r="B4" s="145"/>
      <c r="C4" s="145"/>
      <c r="D4" s="146" t="s">
        <v>2</v>
      </c>
      <c r="E4" s="691" t="str">
        <f>'Project Info.'!D4</f>
        <v>Marzo 2008</v>
      </c>
      <c r="F4" s="692"/>
      <c r="G4" s="693"/>
      <c r="H4" s="148"/>
      <c r="I4" s="148"/>
      <c r="J4" s="148"/>
      <c r="K4" s="149"/>
      <c r="L4" s="145"/>
      <c r="M4" s="145"/>
      <c r="N4" s="145"/>
      <c r="O4" s="145"/>
      <c r="P4" s="145"/>
      <c r="Q4" s="145"/>
      <c r="R4" s="150"/>
      <c r="S4" s="145"/>
      <c r="T4" s="151"/>
      <c r="U4" s="157" t="s">
        <v>97</v>
      </c>
      <c r="V4" s="147" t="str">
        <f>$E$7</f>
        <v>Grava 1/2 Mina Tiburcio</v>
      </c>
      <c r="W4" s="148"/>
      <c r="X4" s="148"/>
      <c r="Y4" s="148"/>
      <c r="Z4" s="148"/>
      <c r="AA4" s="157" t="s">
        <v>102</v>
      </c>
      <c r="AB4" s="147" t="str">
        <f>$E$12</f>
        <v>Combinada Practica I</v>
      </c>
      <c r="AC4" s="151"/>
      <c r="AD4" s="151"/>
      <c r="AE4" s="151"/>
      <c r="AF4" s="151"/>
      <c r="AG4" s="150"/>
      <c r="AH4" s="151"/>
      <c r="AI4" s="145"/>
      <c r="AJ4" s="157" t="s">
        <v>97</v>
      </c>
      <c r="AK4" s="147" t="str">
        <f>$E$7</f>
        <v>Grava 1/2 Mina Tiburcio</v>
      </c>
      <c r="AL4" s="148"/>
      <c r="AM4" s="148"/>
      <c r="AN4" s="148"/>
      <c r="AO4" s="148"/>
      <c r="AP4" s="157" t="s">
        <v>102</v>
      </c>
      <c r="AQ4" s="147" t="str">
        <f>$E$12</f>
        <v>Combinada Practica I</v>
      </c>
      <c r="AR4" s="148"/>
      <c r="AS4" s="148"/>
      <c r="AT4" s="148"/>
      <c r="AU4" s="148"/>
      <c r="AV4" s="145"/>
    </row>
    <row r="5" spans="1:48" ht="21" customHeight="1">
      <c r="A5" s="145"/>
      <c r="B5" s="145"/>
      <c r="C5" s="145"/>
      <c r="D5" s="158"/>
      <c r="E5" s="159"/>
      <c r="F5" s="159"/>
      <c r="G5" s="159"/>
      <c r="H5" s="159"/>
      <c r="I5" s="159"/>
      <c r="J5" s="159"/>
      <c r="K5" s="160"/>
      <c r="L5" s="145"/>
      <c r="M5" s="145"/>
      <c r="N5" s="145"/>
      <c r="O5" s="145"/>
      <c r="P5" s="145"/>
      <c r="Q5" s="145"/>
      <c r="R5" s="150"/>
      <c r="S5" s="145"/>
      <c r="T5" s="151"/>
      <c r="U5" s="157" t="s">
        <v>98</v>
      </c>
      <c r="V5" s="147" t="str">
        <f>$E$8</f>
        <v>Gravilla 3/8 Marquez</v>
      </c>
      <c r="W5" s="148"/>
      <c r="X5" s="148"/>
      <c r="Y5" s="148"/>
      <c r="Z5" s="148"/>
      <c r="AA5" s="157" t="s">
        <v>103</v>
      </c>
      <c r="AB5" s="147" t="str">
        <f>$E$13</f>
        <v>Combinada Practica II</v>
      </c>
      <c r="AC5" s="151"/>
      <c r="AD5" s="151"/>
      <c r="AE5" s="151"/>
      <c r="AF5" s="151"/>
      <c r="AG5" s="150"/>
      <c r="AH5" s="151"/>
      <c r="AI5" s="145"/>
      <c r="AJ5" s="157" t="s">
        <v>98</v>
      </c>
      <c r="AK5" s="147" t="str">
        <f>$E$8</f>
        <v>Gravilla 3/8 Marquez</v>
      </c>
      <c r="AL5" s="148"/>
      <c r="AM5" s="148"/>
      <c r="AN5" s="148"/>
      <c r="AO5" s="148"/>
      <c r="AP5" s="157" t="s">
        <v>103</v>
      </c>
      <c r="AQ5" s="147" t="str">
        <f>$E$13</f>
        <v>Combinada Practica II</v>
      </c>
      <c r="AR5" s="148"/>
      <c r="AS5" s="148"/>
      <c r="AT5" s="148"/>
      <c r="AU5" s="148"/>
      <c r="AV5" s="145"/>
    </row>
    <row r="6" spans="1:48" ht="21" customHeight="1">
      <c r="A6" s="145"/>
      <c r="B6" s="145"/>
      <c r="C6" s="145"/>
      <c r="D6" s="161"/>
      <c r="E6" s="694" t="s">
        <v>3</v>
      </c>
      <c r="F6" s="694"/>
      <c r="G6" s="694"/>
      <c r="H6" s="694"/>
      <c r="I6" s="694"/>
      <c r="J6" s="694"/>
      <c r="K6" s="160"/>
      <c r="L6" s="145"/>
      <c r="M6" s="145"/>
      <c r="N6" s="145"/>
      <c r="O6" s="145"/>
      <c r="P6" s="145"/>
      <c r="Q6" s="145"/>
      <c r="R6" s="150"/>
      <c r="S6" s="145"/>
      <c r="T6" s="151"/>
      <c r="U6" s="157" t="s">
        <v>99</v>
      </c>
      <c r="V6" s="147" t="str">
        <f>$E$9</f>
        <v>Arena EPSA</v>
      </c>
      <c r="W6" s="148"/>
      <c r="X6" s="148"/>
      <c r="Y6" s="148"/>
      <c r="Z6" s="148"/>
      <c r="AA6" s="157" t="s">
        <v>104</v>
      </c>
      <c r="AB6" s="147" t="str">
        <f>$E$14</f>
        <v>Combinada Practica III</v>
      </c>
      <c r="AC6" s="151"/>
      <c r="AD6" s="151"/>
      <c r="AE6" s="151"/>
      <c r="AF6" s="151"/>
      <c r="AG6" s="150"/>
      <c r="AH6" s="151"/>
      <c r="AI6" s="145"/>
      <c r="AJ6" s="157" t="s">
        <v>99</v>
      </c>
      <c r="AK6" s="147" t="str">
        <f>$E$9</f>
        <v>Arena EPSA</v>
      </c>
      <c r="AL6" s="148"/>
      <c r="AM6" s="148"/>
      <c r="AN6" s="148"/>
      <c r="AO6" s="148"/>
      <c r="AP6" s="157" t="s">
        <v>104</v>
      </c>
      <c r="AQ6" s="147" t="str">
        <f>$E$14</f>
        <v>Combinada Practica III</v>
      </c>
      <c r="AR6" s="148"/>
      <c r="AS6" s="148"/>
      <c r="AT6" s="148"/>
      <c r="AU6" s="148"/>
      <c r="AV6" s="145"/>
    </row>
    <row r="7" spans="1:48" ht="20.25">
      <c r="A7" s="145"/>
      <c r="B7" s="145"/>
      <c r="C7" s="145"/>
      <c r="D7" s="146" t="s">
        <v>4</v>
      </c>
      <c r="E7" s="162" t="str">
        <f>'Project Info.'!D8</f>
        <v>Grava 1/2 Mina Tiburcio</v>
      </c>
      <c r="F7" s="156"/>
      <c r="G7" s="148"/>
      <c r="H7" s="148"/>
      <c r="I7" s="148"/>
      <c r="J7" s="148"/>
      <c r="K7" s="149"/>
      <c r="L7" s="145"/>
      <c r="M7" s="145"/>
      <c r="N7" s="145"/>
      <c r="O7" s="145"/>
      <c r="P7" s="145"/>
      <c r="Q7" s="145"/>
      <c r="R7" s="150"/>
      <c r="S7" s="145"/>
      <c r="T7" s="151"/>
      <c r="U7" s="157" t="s">
        <v>100</v>
      </c>
      <c r="V7" s="147" t="str">
        <f>$E$10</f>
        <v>Arena Caliza XX</v>
      </c>
      <c r="W7" s="148"/>
      <c r="X7" s="148"/>
      <c r="Y7" s="148"/>
      <c r="Z7" s="148"/>
      <c r="AA7" s="157" t="s">
        <v>105</v>
      </c>
      <c r="AB7" s="147">
        <f>$E$15</f>
        <v>0</v>
      </c>
      <c r="AC7" s="151"/>
      <c r="AD7" s="151"/>
      <c r="AE7" s="151"/>
      <c r="AF7" s="151"/>
      <c r="AG7" s="150"/>
      <c r="AH7" s="151"/>
      <c r="AI7" s="145"/>
      <c r="AJ7" s="157" t="s">
        <v>100</v>
      </c>
      <c r="AK7" s="147" t="str">
        <f>$E$10</f>
        <v>Arena Caliza XX</v>
      </c>
      <c r="AL7" s="148"/>
      <c r="AM7" s="148"/>
      <c r="AN7" s="148"/>
      <c r="AO7" s="148"/>
      <c r="AP7" s="157" t="s">
        <v>105</v>
      </c>
      <c r="AQ7" s="147">
        <f>$E$15</f>
        <v>0</v>
      </c>
      <c r="AR7" s="148"/>
      <c r="AS7" s="148"/>
      <c r="AT7" s="148"/>
      <c r="AU7" s="148"/>
      <c r="AV7" s="145"/>
    </row>
    <row r="8" spans="1:48" ht="21" thickBot="1">
      <c r="A8" s="145"/>
      <c r="B8" s="145"/>
      <c r="C8" s="145"/>
      <c r="D8" s="146" t="s">
        <v>5</v>
      </c>
      <c r="E8" s="162" t="str">
        <f>'Project Info.'!D9</f>
        <v>Gravilla 3/8 Marquez</v>
      </c>
      <c r="F8" s="156"/>
      <c r="G8" s="148"/>
      <c r="H8" s="148"/>
      <c r="I8" s="148"/>
      <c r="J8" s="148"/>
      <c r="K8" s="149"/>
      <c r="L8" s="145"/>
      <c r="M8" s="145"/>
      <c r="N8" s="145"/>
      <c r="O8" s="145"/>
      <c r="P8" s="145"/>
      <c r="Q8" s="145"/>
      <c r="R8" s="150"/>
      <c r="S8" s="145"/>
      <c r="T8" s="151"/>
      <c r="U8" s="157" t="s">
        <v>101</v>
      </c>
      <c r="V8" s="147" t="str">
        <f>$E$11</f>
        <v>Combinada Teorica</v>
      </c>
      <c r="W8" s="148"/>
      <c r="X8" s="148"/>
      <c r="Y8" s="148"/>
      <c r="Z8" s="148"/>
      <c r="AA8" s="157" t="s">
        <v>106</v>
      </c>
      <c r="AB8" s="147">
        <f>$E$16</f>
        <v>0</v>
      </c>
      <c r="AC8" s="151"/>
      <c r="AD8" s="151"/>
      <c r="AE8" s="151"/>
      <c r="AF8" s="151"/>
      <c r="AG8" s="150"/>
      <c r="AH8" s="151"/>
      <c r="AI8" s="145"/>
      <c r="AJ8" s="157" t="s">
        <v>101</v>
      </c>
      <c r="AK8" s="147" t="str">
        <f>$E$11</f>
        <v>Combinada Teorica</v>
      </c>
      <c r="AL8" s="148"/>
      <c r="AM8" s="148"/>
      <c r="AN8" s="148"/>
      <c r="AO8" s="148"/>
      <c r="AP8" s="157" t="s">
        <v>106</v>
      </c>
      <c r="AQ8" s="147">
        <f>$E$16</f>
        <v>0</v>
      </c>
      <c r="AR8" s="148"/>
      <c r="AS8" s="148"/>
      <c r="AT8" s="148"/>
      <c r="AU8" s="148"/>
      <c r="AV8" s="145"/>
    </row>
    <row r="9" spans="1:48" ht="21" thickBot="1">
      <c r="A9" s="145"/>
      <c r="B9" s="145"/>
      <c r="C9" s="145"/>
      <c r="D9" s="146" t="s">
        <v>6</v>
      </c>
      <c r="E9" s="162" t="str">
        <f>'Project Info.'!D10</f>
        <v>Arena EPSA</v>
      </c>
      <c r="F9" s="156"/>
      <c r="G9" s="148"/>
      <c r="H9" s="148"/>
      <c r="I9" s="148"/>
      <c r="J9" s="148"/>
      <c r="K9" s="149"/>
      <c r="L9" s="145"/>
      <c r="M9" s="145"/>
      <c r="N9" s="145"/>
      <c r="O9" s="145"/>
      <c r="P9" s="145"/>
      <c r="Q9" s="145"/>
      <c r="R9" s="150"/>
      <c r="S9" s="145"/>
      <c r="T9" s="151"/>
      <c r="U9" s="686" t="s">
        <v>94</v>
      </c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8"/>
      <c r="AG9" s="150"/>
      <c r="AH9" s="151"/>
      <c r="AI9" s="145"/>
      <c r="AJ9" s="695" t="s">
        <v>308</v>
      </c>
      <c r="AK9" s="696"/>
      <c r="AL9" s="696"/>
      <c r="AM9" s="696"/>
      <c r="AN9" s="696"/>
      <c r="AO9" s="696"/>
      <c r="AP9" s="696"/>
      <c r="AQ9" s="696"/>
      <c r="AR9" s="696"/>
      <c r="AS9" s="696"/>
      <c r="AT9" s="696"/>
      <c r="AU9" s="697"/>
      <c r="AV9" s="145"/>
    </row>
    <row r="10" spans="1:48" ht="27" thickBot="1">
      <c r="A10" s="145"/>
      <c r="B10" s="145"/>
      <c r="C10" s="145"/>
      <c r="D10" s="146" t="s">
        <v>7</v>
      </c>
      <c r="E10" s="162" t="str">
        <f>'Project Info.'!D11</f>
        <v>Arena Caliza XX</v>
      </c>
      <c r="F10" s="156"/>
      <c r="G10" s="148"/>
      <c r="H10" s="148"/>
      <c r="I10" s="148"/>
      <c r="J10" s="148"/>
      <c r="K10" s="149"/>
      <c r="L10" s="145"/>
      <c r="M10" s="145"/>
      <c r="N10" s="145"/>
      <c r="O10" s="145"/>
      <c r="P10" s="145"/>
      <c r="Q10" s="145"/>
      <c r="R10" s="150"/>
      <c r="S10" s="145"/>
      <c r="T10" s="151"/>
      <c r="U10" s="163"/>
      <c r="V10" s="164" t="s">
        <v>42</v>
      </c>
      <c r="W10" s="304"/>
      <c r="X10" s="165" t="s">
        <v>43</v>
      </c>
      <c r="Y10" s="166"/>
      <c r="Z10" s="166"/>
      <c r="AA10" s="166"/>
      <c r="AB10" s="166"/>
      <c r="AC10" s="166"/>
      <c r="AD10" s="167"/>
      <c r="AE10" s="166"/>
      <c r="AF10" s="168"/>
      <c r="AG10" s="150"/>
      <c r="AH10" s="151"/>
      <c r="AI10" s="145"/>
      <c r="AJ10" s="163"/>
      <c r="AK10" s="164" t="s">
        <v>42</v>
      </c>
      <c r="AL10" s="304"/>
      <c r="AM10" s="165" t="s">
        <v>43</v>
      </c>
      <c r="AN10" s="166"/>
      <c r="AO10" s="166"/>
      <c r="AP10" s="166"/>
      <c r="AQ10" s="166"/>
      <c r="AR10" s="166"/>
      <c r="AS10" s="166"/>
      <c r="AT10" s="169"/>
      <c r="AU10" s="168"/>
      <c r="AV10" s="145"/>
    </row>
    <row r="11" spans="1:48" ht="21" thickBot="1">
      <c r="A11" s="145"/>
      <c r="B11" s="145"/>
      <c r="C11" s="145"/>
      <c r="D11" s="146" t="s">
        <v>8</v>
      </c>
      <c r="E11" s="162" t="str">
        <f>'Project Info.'!D12</f>
        <v>Combinada Teorica</v>
      </c>
      <c r="F11" s="156"/>
      <c r="G11" s="148"/>
      <c r="H11" s="148"/>
      <c r="I11" s="148"/>
      <c r="J11" s="148"/>
      <c r="K11" s="149"/>
      <c r="L11" s="145"/>
      <c r="M11" s="145"/>
      <c r="N11" s="145"/>
      <c r="O11" s="145"/>
      <c r="P11" s="145"/>
      <c r="Q11" s="145"/>
      <c r="R11" s="150"/>
      <c r="S11" s="145"/>
      <c r="T11" s="151"/>
      <c r="U11" s="678" t="s">
        <v>96</v>
      </c>
      <c r="V11" s="679"/>
      <c r="W11" s="170">
        <f>$E$22</f>
        <v>0.11</v>
      </c>
      <c r="X11" s="170">
        <f>$F$22</f>
        <v>0.14</v>
      </c>
      <c r="Y11" s="170">
        <f>$G$22</f>
        <v>0.66</v>
      </c>
      <c r="Z11" s="170">
        <f>$H$22</f>
        <v>0.09</v>
      </c>
      <c r="AA11" s="170">
        <f>$I$22</f>
        <v>0</v>
      </c>
      <c r="AB11" s="170">
        <f>$J$22</f>
        <v>0</v>
      </c>
      <c r="AC11" s="170">
        <f>$K$22</f>
        <v>0</v>
      </c>
      <c r="AD11" s="170">
        <f>$L$22</f>
        <v>0</v>
      </c>
      <c r="AE11" s="170">
        <f>$M$22</f>
        <v>0</v>
      </c>
      <c r="AF11" s="170">
        <f>$N$22</f>
        <v>0</v>
      </c>
      <c r="AG11" s="171"/>
      <c r="AH11" s="172"/>
      <c r="AI11" s="145"/>
      <c r="AJ11" s="644" t="s">
        <v>96</v>
      </c>
      <c r="AK11" s="645"/>
      <c r="AL11" s="173">
        <f>$E$22</f>
        <v>0.11</v>
      </c>
      <c r="AM11" s="173">
        <f>$F$22</f>
        <v>0.14</v>
      </c>
      <c r="AN11" s="173">
        <f>$G$22</f>
        <v>0.66</v>
      </c>
      <c r="AO11" s="173">
        <f>$H$22</f>
        <v>0.09</v>
      </c>
      <c r="AP11" s="173">
        <f>$I$22</f>
        <v>0</v>
      </c>
      <c r="AQ11" s="173">
        <f>$J$22</f>
        <v>0</v>
      </c>
      <c r="AR11" s="173">
        <f>$K$22</f>
        <v>0</v>
      </c>
      <c r="AS11" s="173">
        <f>$L$22</f>
        <v>0</v>
      </c>
      <c r="AT11" s="174">
        <f>$M$22</f>
        <v>0</v>
      </c>
      <c r="AU11" s="173">
        <f>$N$22</f>
        <v>0</v>
      </c>
      <c r="AV11" s="145"/>
    </row>
    <row r="12" spans="1:48" ht="21" thickBot="1">
      <c r="A12" s="145"/>
      <c r="B12" s="145"/>
      <c r="C12" s="145"/>
      <c r="D12" s="146" t="s">
        <v>9</v>
      </c>
      <c r="E12" s="162" t="str">
        <f>'Project Info.'!D13</f>
        <v>Combinada Practica I</v>
      </c>
      <c r="F12" s="156"/>
      <c r="G12" s="148"/>
      <c r="H12" s="148"/>
      <c r="I12" s="148"/>
      <c r="J12" s="148"/>
      <c r="K12" s="175"/>
      <c r="L12" s="145"/>
      <c r="M12" s="145"/>
      <c r="N12" s="145"/>
      <c r="O12" s="145"/>
      <c r="P12" s="145"/>
      <c r="Q12" s="145"/>
      <c r="R12" s="150"/>
      <c r="S12" s="145"/>
      <c r="T12" s="151"/>
      <c r="U12" s="669" t="s">
        <v>16</v>
      </c>
      <c r="V12" s="670"/>
      <c r="W12" s="177" t="s">
        <v>45</v>
      </c>
      <c r="X12" s="177" t="s">
        <v>45</v>
      </c>
      <c r="Y12" s="177" t="s">
        <v>45</v>
      </c>
      <c r="Z12" s="177" t="s">
        <v>45</v>
      </c>
      <c r="AA12" s="177" t="s">
        <v>45</v>
      </c>
      <c r="AB12" s="177" t="s">
        <v>45</v>
      </c>
      <c r="AC12" s="177" t="s">
        <v>45</v>
      </c>
      <c r="AD12" s="177" t="s">
        <v>45</v>
      </c>
      <c r="AE12" s="177" t="s">
        <v>45</v>
      </c>
      <c r="AF12" s="177" t="s">
        <v>45</v>
      </c>
      <c r="AG12" s="178"/>
      <c r="AH12" s="179"/>
      <c r="AI12" s="145"/>
      <c r="AJ12" s="669" t="s">
        <v>16</v>
      </c>
      <c r="AK12" s="671"/>
      <c r="AL12" s="177" t="s">
        <v>45</v>
      </c>
      <c r="AM12" s="177" t="s">
        <v>45</v>
      </c>
      <c r="AN12" s="177" t="s">
        <v>45</v>
      </c>
      <c r="AO12" s="177" t="s">
        <v>45</v>
      </c>
      <c r="AP12" s="177" t="s">
        <v>45</v>
      </c>
      <c r="AQ12" s="177" t="s">
        <v>45</v>
      </c>
      <c r="AR12" s="177" t="s">
        <v>45</v>
      </c>
      <c r="AS12" s="177" t="s">
        <v>45</v>
      </c>
      <c r="AT12" s="177" t="s">
        <v>45</v>
      </c>
      <c r="AU12" s="177" t="s">
        <v>45</v>
      </c>
      <c r="AV12" s="145"/>
    </row>
    <row r="13" spans="1:48" ht="21" thickBot="1">
      <c r="A13" s="145"/>
      <c r="B13" s="145"/>
      <c r="C13" s="145"/>
      <c r="D13" s="146" t="s">
        <v>10</v>
      </c>
      <c r="E13" s="162" t="str">
        <f>'Project Info.'!D14</f>
        <v>Combinada Practica II</v>
      </c>
      <c r="F13" s="156"/>
      <c r="G13" s="148"/>
      <c r="H13" s="148"/>
      <c r="I13" s="148"/>
      <c r="J13" s="148"/>
      <c r="K13" s="149"/>
      <c r="L13" s="145"/>
      <c r="M13" s="180"/>
      <c r="N13" s="145"/>
      <c r="O13" s="145"/>
      <c r="P13" s="145"/>
      <c r="Q13" s="145"/>
      <c r="R13" s="150"/>
      <c r="S13" s="145"/>
      <c r="T13" s="151"/>
      <c r="U13" s="177" t="s">
        <v>15</v>
      </c>
      <c r="V13" s="181" t="s">
        <v>17</v>
      </c>
      <c r="W13" s="182">
        <v>1</v>
      </c>
      <c r="X13" s="182">
        <v>2</v>
      </c>
      <c r="Y13" s="182">
        <v>3</v>
      </c>
      <c r="Z13" s="182">
        <v>4</v>
      </c>
      <c r="AA13" s="182">
        <v>5</v>
      </c>
      <c r="AB13" s="182">
        <v>6</v>
      </c>
      <c r="AC13" s="182">
        <v>7</v>
      </c>
      <c r="AD13" s="182">
        <v>8</v>
      </c>
      <c r="AE13" s="182">
        <v>9</v>
      </c>
      <c r="AF13" s="182">
        <v>10</v>
      </c>
      <c r="AG13" s="178"/>
      <c r="AH13" s="179"/>
      <c r="AI13" s="145"/>
      <c r="AJ13" s="177" t="s">
        <v>15</v>
      </c>
      <c r="AK13" s="181" t="s">
        <v>17</v>
      </c>
      <c r="AL13" s="182">
        <v>1</v>
      </c>
      <c r="AM13" s="182">
        <v>2</v>
      </c>
      <c r="AN13" s="182">
        <v>3</v>
      </c>
      <c r="AO13" s="182">
        <v>4</v>
      </c>
      <c r="AP13" s="182">
        <v>5</v>
      </c>
      <c r="AQ13" s="182">
        <v>6</v>
      </c>
      <c r="AR13" s="182">
        <v>7</v>
      </c>
      <c r="AS13" s="182">
        <v>8</v>
      </c>
      <c r="AT13" s="182">
        <v>9</v>
      </c>
      <c r="AU13" s="182">
        <v>10</v>
      </c>
      <c r="AV13" s="145"/>
    </row>
    <row r="14" spans="1:48" ht="20.25">
      <c r="A14" s="145"/>
      <c r="B14" s="145"/>
      <c r="C14" s="145"/>
      <c r="D14" s="146" t="s">
        <v>11</v>
      </c>
      <c r="E14" s="162" t="str">
        <f>'Project Info.'!D15</f>
        <v>Combinada Practica III</v>
      </c>
      <c r="F14" s="156"/>
      <c r="G14" s="148"/>
      <c r="H14" s="148"/>
      <c r="I14" s="146"/>
      <c r="J14" s="146"/>
      <c r="K14" s="146"/>
      <c r="L14" s="183"/>
      <c r="N14" s="146" t="s">
        <v>305</v>
      </c>
      <c r="O14" s="588"/>
      <c r="P14" s="162"/>
      <c r="Q14" s="145"/>
      <c r="R14" s="150"/>
      <c r="S14" s="145"/>
      <c r="T14" s="151"/>
      <c r="U14" s="184">
        <v>50</v>
      </c>
      <c r="V14" s="185" t="s">
        <v>28</v>
      </c>
      <c r="W14" s="186">
        <f aca="true" t="shared" si="0" ref="W14:AF14">($W$10*W11)*((100-E24)/100)</f>
        <v>0</v>
      </c>
      <c r="X14" s="187">
        <f>($W$10*X11)*((100-F24)/100)</f>
        <v>0</v>
      </c>
      <c r="Y14" s="187">
        <f>($W$10*Y11)*((100-G24)/100)</f>
        <v>0</v>
      </c>
      <c r="Z14" s="187">
        <f t="shared" si="0"/>
        <v>0</v>
      </c>
      <c r="AA14" s="187">
        <f t="shared" si="0"/>
        <v>0</v>
      </c>
      <c r="AB14" s="187">
        <f t="shared" si="0"/>
        <v>0</v>
      </c>
      <c r="AC14" s="187">
        <f t="shared" si="0"/>
        <v>0</v>
      </c>
      <c r="AD14" s="187">
        <f t="shared" si="0"/>
        <v>0</v>
      </c>
      <c r="AE14" s="187">
        <f t="shared" si="0"/>
        <v>0</v>
      </c>
      <c r="AF14" s="188">
        <f t="shared" si="0"/>
        <v>0</v>
      </c>
      <c r="AG14" s="189"/>
      <c r="AH14" s="190"/>
      <c r="AI14" s="145"/>
      <c r="AJ14" s="191">
        <v>1.18</v>
      </c>
      <c r="AK14" s="224" t="s">
        <v>36</v>
      </c>
      <c r="AL14" s="186">
        <f>IF($AL$10="","",(W22/SUM($W$22:$AF$25))*$AL$10)</f>
      </c>
      <c r="AM14" s="229">
        <f aca="true" t="shared" si="1" ref="AM14:AU14">IF($AL$10="","",(X22/SUM($W$22:$AF$25))*$AL$10)</f>
      </c>
      <c r="AN14" s="229">
        <f t="shared" si="1"/>
      </c>
      <c r="AO14" s="229">
        <f t="shared" si="1"/>
      </c>
      <c r="AP14" s="229">
        <f t="shared" si="1"/>
      </c>
      <c r="AQ14" s="229">
        <f t="shared" si="1"/>
      </c>
      <c r="AR14" s="229">
        <f t="shared" si="1"/>
      </c>
      <c r="AS14" s="229">
        <f t="shared" si="1"/>
      </c>
      <c r="AT14" s="229">
        <f t="shared" si="1"/>
      </c>
      <c r="AU14" s="230">
        <f t="shared" si="1"/>
      </c>
      <c r="AV14" s="145"/>
    </row>
    <row r="15" spans="1:48" ht="21" thickBot="1">
      <c r="A15" s="145"/>
      <c r="B15" s="145"/>
      <c r="C15" s="145"/>
      <c r="D15" s="146" t="s">
        <v>12</v>
      </c>
      <c r="E15" s="162">
        <f>'Project Info.'!D16</f>
        <v>0</v>
      </c>
      <c r="F15" s="156"/>
      <c r="G15" s="148"/>
      <c r="H15" s="148"/>
      <c r="I15" s="146"/>
      <c r="J15" s="146"/>
      <c r="K15" s="146"/>
      <c r="L15" s="193"/>
      <c r="N15" s="146" t="s">
        <v>306</v>
      </c>
      <c r="O15" s="587">
        <f>(O14*'Project Info.'!H18)+('Grad. &amp; Batching'!O21*(1-'Grad. &amp; Batching'!O14))</f>
        <v>0</v>
      </c>
      <c r="P15" s="145"/>
      <c r="Q15" s="145"/>
      <c r="R15" s="150"/>
      <c r="S15" s="145"/>
      <c r="T15" s="151"/>
      <c r="U15" s="191">
        <v>37.5</v>
      </c>
      <c r="V15" s="192" t="s">
        <v>29</v>
      </c>
      <c r="W15" s="194">
        <f aca="true" t="shared" si="2" ref="W15:W26">($W$10*$W$11)*((E24-E25)/100)</f>
        <v>0</v>
      </c>
      <c r="X15" s="195">
        <f aca="true" t="shared" si="3" ref="X15:X26">($W$10*$X$11)*((F24-F25)/100)</f>
        <v>0</v>
      </c>
      <c r="Y15" s="195">
        <f aca="true" t="shared" si="4" ref="Y15:Y26">($W$10*$Y$11)*((G24-G25)/100)</f>
        <v>0</v>
      </c>
      <c r="Z15" s="195">
        <f aca="true" t="shared" si="5" ref="Z15:Z26">($W$10*$Z$11)*((H24-H25)/100)</f>
        <v>0</v>
      </c>
      <c r="AA15" s="195">
        <f aca="true" t="shared" si="6" ref="AA15:AA26">($W$10*$AA$11)*((I24-I25)/100)</f>
        <v>0</v>
      </c>
      <c r="AB15" s="195">
        <f aca="true" t="shared" si="7" ref="AB15:AB26">($W$10*$AB$11)*((J24-J25)/100)</f>
        <v>0</v>
      </c>
      <c r="AC15" s="195">
        <f aca="true" t="shared" si="8" ref="AC15:AC26">($W$10*$AC$11)*((K24-K25)/100)</f>
        <v>0</v>
      </c>
      <c r="AD15" s="195">
        <f aca="true" t="shared" si="9" ref="AD15:AD26">($W$10*$AD$11)*((L24-L25)/100)</f>
        <v>0</v>
      </c>
      <c r="AE15" s="195">
        <f aca="true" t="shared" si="10" ref="AE15:AE26">($W$10*$AE$11)*((M24-M25)/100)</f>
        <v>0</v>
      </c>
      <c r="AF15" s="196">
        <f aca="true" t="shared" si="11" ref="AF15:AF26">($W$10*$AF$11)*((N24-N25)/100)</f>
        <v>0</v>
      </c>
      <c r="AG15" s="189"/>
      <c r="AH15" s="190"/>
      <c r="AI15" s="145"/>
      <c r="AJ15" s="191">
        <v>0.6</v>
      </c>
      <c r="AK15" s="224" t="s">
        <v>37</v>
      </c>
      <c r="AL15" s="194">
        <f>IF($AL$10="","",(W23/SUM($W$22:$AF$25))*$AL$10)</f>
      </c>
      <c r="AM15" s="231">
        <f aca="true" t="shared" si="12" ref="AM15:AU17">IF($AL$10="","",(X23/SUM($W$22:$AF$25))*$AL$10)</f>
      </c>
      <c r="AN15" s="231">
        <f t="shared" si="12"/>
      </c>
      <c r="AO15" s="231">
        <f t="shared" si="12"/>
      </c>
      <c r="AP15" s="231">
        <f t="shared" si="12"/>
      </c>
      <c r="AQ15" s="231">
        <f t="shared" si="12"/>
      </c>
      <c r="AR15" s="231">
        <f t="shared" si="12"/>
      </c>
      <c r="AS15" s="231">
        <f t="shared" si="12"/>
      </c>
      <c r="AT15" s="231">
        <f t="shared" si="12"/>
      </c>
      <c r="AU15" s="232">
        <f t="shared" si="12"/>
      </c>
      <c r="AV15" s="145"/>
    </row>
    <row r="16" spans="1:48" ht="20.25">
      <c r="A16" s="145"/>
      <c r="B16" s="145"/>
      <c r="C16" s="145"/>
      <c r="D16" s="146" t="s">
        <v>13</v>
      </c>
      <c r="E16" s="162">
        <f>'Project Info.'!D17</f>
        <v>0</v>
      </c>
      <c r="F16" s="156"/>
      <c r="G16" s="148"/>
      <c r="H16" s="148"/>
      <c r="I16" s="146"/>
      <c r="J16" s="146"/>
      <c r="K16" s="146"/>
      <c r="L16" s="146"/>
      <c r="M16" s="146"/>
      <c r="N16" s="145"/>
      <c r="O16" s="145"/>
      <c r="P16" s="145"/>
      <c r="Q16" s="145"/>
      <c r="R16" s="150"/>
      <c r="S16" s="145"/>
      <c r="T16" s="151"/>
      <c r="U16" s="191">
        <v>25</v>
      </c>
      <c r="V16" s="192" t="s">
        <v>30</v>
      </c>
      <c r="W16" s="194">
        <f t="shared" si="2"/>
        <v>0</v>
      </c>
      <c r="X16" s="195">
        <f t="shared" si="3"/>
        <v>0</v>
      </c>
      <c r="Y16" s="195">
        <f t="shared" si="4"/>
        <v>0</v>
      </c>
      <c r="Z16" s="195">
        <f t="shared" si="5"/>
        <v>0</v>
      </c>
      <c r="AA16" s="195">
        <f t="shared" si="6"/>
        <v>0</v>
      </c>
      <c r="AB16" s="195">
        <f t="shared" si="7"/>
        <v>0</v>
      </c>
      <c r="AC16" s="195">
        <f t="shared" si="8"/>
        <v>0</v>
      </c>
      <c r="AD16" s="195">
        <f t="shared" si="9"/>
        <v>0</v>
      </c>
      <c r="AE16" s="195">
        <f t="shared" si="10"/>
        <v>0</v>
      </c>
      <c r="AF16" s="196">
        <f t="shared" si="11"/>
        <v>0</v>
      </c>
      <c r="AG16" s="189"/>
      <c r="AH16" s="190"/>
      <c r="AI16" s="145"/>
      <c r="AJ16" s="191">
        <v>0.3</v>
      </c>
      <c r="AK16" s="224" t="s">
        <v>38</v>
      </c>
      <c r="AL16" s="194">
        <f>IF($AL$10="","",(W24/SUM($W$22:$AF$25))*$AL$10)</f>
      </c>
      <c r="AM16" s="231">
        <f t="shared" si="12"/>
      </c>
      <c r="AN16" s="231">
        <f t="shared" si="12"/>
      </c>
      <c r="AO16" s="231">
        <f t="shared" si="12"/>
      </c>
      <c r="AP16" s="231">
        <f t="shared" si="12"/>
      </c>
      <c r="AQ16" s="231">
        <f t="shared" si="12"/>
      </c>
      <c r="AR16" s="231">
        <f t="shared" si="12"/>
      </c>
      <c r="AS16" s="231">
        <f t="shared" si="12"/>
      </c>
      <c r="AT16" s="231">
        <f t="shared" si="12"/>
      </c>
      <c r="AU16" s="232">
        <f t="shared" si="12"/>
      </c>
      <c r="AV16" s="145"/>
    </row>
    <row r="17" spans="1:48" ht="21" thickBot="1">
      <c r="A17" s="145"/>
      <c r="B17" s="145"/>
      <c r="C17" s="145"/>
      <c r="D17" s="161"/>
      <c r="E17" s="683"/>
      <c r="F17" s="683"/>
      <c r="G17" s="683"/>
      <c r="H17" s="683"/>
      <c r="I17" s="197"/>
      <c r="J17" s="198"/>
      <c r="K17" s="149"/>
      <c r="L17" s="145"/>
      <c r="M17" s="145"/>
      <c r="N17" s="145"/>
      <c r="O17" s="145"/>
      <c r="P17" s="145"/>
      <c r="Q17" s="145"/>
      <c r="R17" s="150"/>
      <c r="S17" s="145"/>
      <c r="T17" s="151"/>
      <c r="U17" s="191">
        <v>19</v>
      </c>
      <c r="V17" s="192" t="s">
        <v>31</v>
      </c>
      <c r="W17" s="194">
        <f t="shared" si="2"/>
        <v>0</v>
      </c>
      <c r="X17" s="195">
        <f t="shared" si="3"/>
        <v>0</v>
      </c>
      <c r="Y17" s="195">
        <f t="shared" si="4"/>
        <v>0</v>
      </c>
      <c r="Z17" s="195">
        <f t="shared" si="5"/>
        <v>0</v>
      </c>
      <c r="AA17" s="195">
        <f t="shared" si="6"/>
        <v>0</v>
      </c>
      <c r="AB17" s="195">
        <f t="shared" si="7"/>
        <v>0</v>
      </c>
      <c r="AC17" s="195">
        <f t="shared" si="8"/>
        <v>0</v>
      </c>
      <c r="AD17" s="195">
        <f t="shared" si="9"/>
        <v>0</v>
      </c>
      <c r="AE17" s="195">
        <f t="shared" si="10"/>
        <v>0</v>
      </c>
      <c r="AF17" s="196">
        <f t="shared" si="11"/>
        <v>0</v>
      </c>
      <c r="AG17" s="189"/>
      <c r="AH17" s="190"/>
      <c r="AI17" s="145"/>
      <c r="AJ17" s="191">
        <v>0.15</v>
      </c>
      <c r="AK17" s="224" t="s">
        <v>39</v>
      </c>
      <c r="AL17" s="194">
        <f>IF($AL$10="","",(W25/SUM($W$22:$AF$25))*$AL$10)</f>
      </c>
      <c r="AM17" s="231">
        <f t="shared" si="12"/>
      </c>
      <c r="AN17" s="231">
        <f t="shared" si="12"/>
      </c>
      <c r="AO17" s="231">
        <f t="shared" si="12"/>
      </c>
      <c r="AP17" s="231">
        <f t="shared" si="12"/>
      </c>
      <c r="AQ17" s="231">
        <f t="shared" si="12"/>
      </c>
      <c r="AR17" s="231">
        <f t="shared" si="12"/>
      </c>
      <c r="AS17" s="231">
        <f t="shared" si="12"/>
      </c>
      <c r="AT17" s="231">
        <f t="shared" si="12"/>
      </c>
      <c r="AU17" s="232">
        <f t="shared" si="12"/>
      </c>
      <c r="AV17" s="145"/>
    </row>
    <row r="18" spans="1:48" ht="21" thickBot="1">
      <c r="A18" s="145"/>
      <c r="B18" s="145"/>
      <c r="C18" s="145"/>
      <c r="D18" s="161"/>
      <c r="E18" s="680" t="s">
        <v>240</v>
      </c>
      <c r="F18" s="681"/>
      <c r="G18" s="681"/>
      <c r="H18" s="681"/>
      <c r="I18" s="681"/>
      <c r="J18" s="681"/>
      <c r="K18" s="681"/>
      <c r="L18" s="681"/>
      <c r="M18" s="681"/>
      <c r="N18" s="682"/>
      <c r="O18" s="145"/>
      <c r="P18" s="145"/>
      <c r="Q18" s="145"/>
      <c r="R18" s="150"/>
      <c r="S18" s="145"/>
      <c r="T18" s="151"/>
      <c r="U18" s="191">
        <v>12.5</v>
      </c>
      <c r="V18" s="192" t="s">
        <v>32</v>
      </c>
      <c r="W18" s="194">
        <f t="shared" si="2"/>
        <v>0</v>
      </c>
      <c r="X18" s="195">
        <f t="shared" si="3"/>
        <v>0</v>
      </c>
      <c r="Y18" s="195">
        <f t="shared" si="4"/>
        <v>0</v>
      </c>
      <c r="Z18" s="195">
        <f t="shared" si="5"/>
        <v>0</v>
      </c>
      <c r="AA18" s="195">
        <f t="shared" si="6"/>
        <v>0</v>
      </c>
      <c r="AB18" s="195">
        <f t="shared" si="7"/>
        <v>0</v>
      </c>
      <c r="AC18" s="195">
        <f t="shared" si="8"/>
        <v>0</v>
      </c>
      <c r="AD18" s="195">
        <f t="shared" si="9"/>
        <v>0</v>
      </c>
      <c r="AE18" s="195">
        <f t="shared" si="10"/>
        <v>0</v>
      </c>
      <c r="AF18" s="196">
        <f t="shared" si="11"/>
        <v>0</v>
      </c>
      <c r="AG18" s="189"/>
      <c r="AH18" s="190"/>
      <c r="AI18" s="145"/>
      <c r="AJ18" s="199">
        <v>0.075</v>
      </c>
      <c r="AK18" s="628" t="s">
        <v>40</v>
      </c>
      <c r="AL18" s="194"/>
      <c r="AM18" s="231"/>
      <c r="AN18" s="231"/>
      <c r="AO18" s="231"/>
      <c r="AP18" s="231"/>
      <c r="AQ18" s="231"/>
      <c r="AR18" s="231"/>
      <c r="AS18" s="231"/>
      <c r="AT18" s="231"/>
      <c r="AU18" s="232"/>
      <c r="AV18" s="145"/>
    </row>
    <row r="19" spans="1:48" ht="21" thickBot="1">
      <c r="A19" s="145"/>
      <c r="B19" s="145"/>
      <c r="C19" s="145"/>
      <c r="D19" s="161"/>
      <c r="E19" s="201"/>
      <c r="F19" s="202"/>
      <c r="G19" s="202"/>
      <c r="H19" s="203" t="s">
        <v>14</v>
      </c>
      <c r="I19" s="299">
        <v>12.5</v>
      </c>
      <c r="J19" s="204" t="s">
        <v>15</v>
      </c>
      <c r="K19" s="205"/>
      <c r="L19" s="206"/>
      <c r="M19" s="206"/>
      <c r="N19" s="207"/>
      <c r="O19" s="145"/>
      <c r="P19" s="145"/>
      <c r="Q19" s="145"/>
      <c r="R19" s="150"/>
      <c r="S19" s="145"/>
      <c r="T19" s="151"/>
      <c r="U19" s="191">
        <v>9.5</v>
      </c>
      <c r="V19" s="192" t="s">
        <v>33</v>
      </c>
      <c r="W19" s="194">
        <f t="shared" si="2"/>
        <v>0</v>
      </c>
      <c r="X19" s="195">
        <f t="shared" si="3"/>
        <v>0</v>
      </c>
      <c r="Y19" s="195">
        <f t="shared" si="4"/>
        <v>0</v>
      </c>
      <c r="Z19" s="195">
        <f t="shared" si="5"/>
        <v>0</v>
      </c>
      <c r="AA19" s="195">
        <f t="shared" si="6"/>
        <v>0</v>
      </c>
      <c r="AB19" s="195">
        <f t="shared" si="7"/>
        <v>0</v>
      </c>
      <c r="AC19" s="195">
        <f t="shared" si="8"/>
        <v>0</v>
      </c>
      <c r="AD19" s="195">
        <f t="shared" si="9"/>
        <v>0</v>
      </c>
      <c r="AE19" s="195">
        <f t="shared" si="10"/>
        <v>0</v>
      </c>
      <c r="AF19" s="196">
        <f t="shared" si="11"/>
        <v>0</v>
      </c>
      <c r="AG19" s="189"/>
      <c r="AH19" s="190"/>
      <c r="AI19" s="145"/>
      <c r="AJ19" s="669" t="s">
        <v>46</v>
      </c>
      <c r="AK19" s="670"/>
      <c r="AL19" s="225"/>
      <c r="AM19" s="631"/>
      <c r="AN19" s="631"/>
      <c r="AO19" s="631"/>
      <c r="AP19" s="631"/>
      <c r="AQ19" s="631"/>
      <c r="AR19" s="631"/>
      <c r="AS19" s="631"/>
      <c r="AT19" s="631"/>
      <c r="AU19" s="632"/>
      <c r="AV19" s="209"/>
    </row>
    <row r="20" spans="1:48" ht="18.75" thickBot="1">
      <c r="A20" s="145"/>
      <c r="B20" s="145"/>
      <c r="C20" s="179"/>
      <c r="D20" s="179"/>
      <c r="E20" s="672" t="s">
        <v>44</v>
      </c>
      <c r="F20" s="673"/>
      <c r="G20" s="673"/>
      <c r="H20" s="673"/>
      <c r="I20" s="673"/>
      <c r="J20" s="673"/>
      <c r="K20" s="673"/>
      <c r="L20" s="673"/>
      <c r="M20" s="673"/>
      <c r="N20" s="648"/>
      <c r="O20" s="145"/>
      <c r="P20" s="145"/>
      <c r="Q20" s="145"/>
      <c r="R20" s="150"/>
      <c r="S20" s="145"/>
      <c r="T20" s="151"/>
      <c r="U20" s="191">
        <v>4.75</v>
      </c>
      <c r="V20" s="192" t="s">
        <v>34</v>
      </c>
      <c r="W20" s="194">
        <f t="shared" si="2"/>
        <v>0</v>
      </c>
      <c r="X20" s="195">
        <f t="shared" si="3"/>
        <v>0</v>
      </c>
      <c r="Y20" s="195">
        <f t="shared" si="4"/>
        <v>0</v>
      </c>
      <c r="Z20" s="195">
        <f t="shared" si="5"/>
        <v>0</v>
      </c>
      <c r="AA20" s="195">
        <f t="shared" si="6"/>
        <v>0</v>
      </c>
      <c r="AB20" s="195">
        <f t="shared" si="7"/>
        <v>0</v>
      </c>
      <c r="AC20" s="195">
        <f t="shared" si="8"/>
        <v>0</v>
      </c>
      <c r="AD20" s="195">
        <f t="shared" si="9"/>
        <v>0</v>
      </c>
      <c r="AE20" s="195">
        <f t="shared" si="10"/>
        <v>0</v>
      </c>
      <c r="AF20" s="196">
        <f t="shared" si="11"/>
        <v>0</v>
      </c>
      <c r="AG20" s="189"/>
      <c r="AH20" s="190"/>
      <c r="AI20" s="145"/>
      <c r="AJ20" s="669" t="s">
        <v>47</v>
      </c>
      <c r="AK20" s="670"/>
      <c r="AL20" s="264">
        <f>SUM(AL14:AL19)</f>
        <v>0</v>
      </c>
      <c r="AM20" s="629">
        <f aca="true" t="shared" si="13" ref="AM20:AU20">SUM(AM14:AM19)</f>
        <v>0</v>
      </c>
      <c r="AN20" s="629">
        <f t="shared" si="13"/>
        <v>0</v>
      </c>
      <c r="AO20" s="629">
        <f t="shared" si="13"/>
        <v>0</v>
      </c>
      <c r="AP20" s="629">
        <f t="shared" si="13"/>
        <v>0</v>
      </c>
      <c r="AQ20" s="629">
        <f t="shared" si="13"/>
        <v>0</v>
      </c>
      <c r="AR20" s="629">
        <f t="shared" si="13"/>
        <v>0</v>
      </c>
      <c r="AS20" s="629">
        <f t="shared" si="13"/>
        <v>0</v>
      </c>
      <c r="AT20" s="629">
        <f t="shared" si="13"/>
        <v>0</v>
      </c>
      <c r="AU20" s="630">
        <f t="shared" si="13"/>
        <v>0</v>
      </c>
      <c r="AV20" s="209"/>
    </row>
    <row r="21" spans="1:48" ht="16.5" thickBot="1">
      <c r="A21" s="145"/>
      <c r="B21" s="145"/>
      <c r="C21" s="689" t="s">
        <v>244</v>
      </c>
      <c r="D21" s="690"/>
      <c r="E21" s="213">
        <f>'Project Info.'!H8</f>
        <v>0</v>
      </c>
      <c r="F21" s="213">
        <f>'Project Info.'!H9</f>
        <v>0</v>
      </c>
      <c r="G21" s="213">
        <f>'Project Info.'!H10</f>
        <v>0</v>
      </c>
      <c r="H21" s="213">
        <f>'Project Info.'!H11</f>
        <v>0</v>
      </c>
      <c r="I21" s="213">
        <f>'Project Info.'!H12</f>
        <v>0</v>
      </c>
      <c r="J21" s="213">
        <f>'Project Info.'!H13</f>
        <v>0</v>
      </c>
      <c r="K21" s="213">
        <f>'Project Info.'!H14</f>
        <v>0</v>
      </c>
      <c r="L21" s="213">
        <f>'Project Info.'!H15</f>
        <v>0</v>
      </c>
      <c r="M21" s="213">
        <f>'Project Info.'!H16</f>
        <v>0</v>
      </c>
      <c r="N21" s="213">
        <f>'Project Info.'!H17</f>
        <v>0</v>
      </c>
      <c r="O21" s="214">
        <f>$E$22*E21+$F$22*F21+$G$22*G21+$H$22*H21+$I$22*I21+$J$22*J21+$K$22*K21+$L$22*L21+$M$22*M21+$N$22*N21</f>
        <v>0</v>
      </c>
      <c r="P21" s="145"/>
      <c r="Q21" s="145"/>
      <c r="R21" s="150"/>
      <c r="S21" s="145"/>
      <c r="T21" s="151"/>
      <c r="U21" s="191">
        <v>2.36</v>
      </c>
      <c r="V21" s="192" t="s">
        <v>35</v>
      </c>
      <c r="W21" s="194">
        <f t="shared" si="2"/>
        <v>0</v>
      </c>
      <c r="X21" s="195">
        <f t="shared" si="3"/>
        <v>0</v>
      </c>
      <c r="Y21" s="195">
        <f t="shared" si="4"/>
        <v>0</v>
      </c>
      <c r="Z21" s="195">
        <f t="shared" si="5"/>
        <v>0</v>
      </c>
      <c r="AA21" s="195">
        <f t="shared" si="6"/>
        <v>0</v>
      </c>
      <c r="AB21" s="195">
        <f t="shared" si="7"/>
        <v>0</v>
      </c>
      <c r="AC21" s="195">
        <f t="shared" si="8"/>
        <v>0</v>
      </c>
      <c r="AD21" s="195">
        <f t="shared" si="9"/>
        <v>0</v>
      </c>
      <c r="AE21" s="195">
        <f t="shared" si="10"/>
        <v>0</v>
      </c>
      <c r="AF21" s="196">
        <f t="shared" si="11"/>
        <v>0</v>
      </c>
      <c r="AG21" s="189"/>
      <c r="AH21" s="190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</row>
    <row r="22" spans="1:48" ht="18.75" thickBot="1">
      <c r="A22" s="145"/>
      <c r="B22" s="145"/>
      <c r="C22" s="669" t="s">
        <v>16</v>
      </c>
      <c r="D22" s="671"/>
      <c r="E22" s="300">
        <v>0.11</v>
      </c>
      <c r="F22" s="640">
        <v>0.14</v>
      </c>
      <c r="G22" s="300">
        <v>0.66</v>
      </c>
      <c r="H22" s="640">
        <v>0.09</v>
      </c>
      <c r="I22" s="300"/>
      <c r="J22" s="300"/>
      <c r="K22" s="300"/>
      <c r="L22" s="300"/>
      <c r="M22" s="300"/>
      <c r="N22" s="640"/>
      <c r="O22" s="215"/>
      <c r="P22" s="684" t="s">
        <v>255</v>
      </c>
      <c r="Q22" s="685"/>
      <c r="R22" s="150"/>
      <c r="S22" s="145"/>
      <c r="T22" s="151"/>
      <c r="U22" s="191">
        <v>1.18</v>
      </c>
      <c r="V22" s="192" t="s">
        <v>36</v>
      </c>
      <c r="W22" s="194">
        <f t="shared" si="2"/>
        <v>0</v>
      </c>
      <c r="X22" s="195">
        <f t="shared" si="3"/>
        <v>0</v>
      </c>
      <c r="Y22" s="195">
        <f t="shared" si="4"/>
        <v>0</v>
      </c>
      <c r="Z22" s="195">
        <f t="shared" si="5"/>
        <v>0</v>
      </c>
      <c r="AA22" s="195">
        <f t="shared" si="6"/>
        <v>0</v>
      </c>
      <c r="AB22" s="195">
        <f t="shared" si="7"/>
        <v>0</v>
      </c>
      <c r="AC22" s="195">
        <f t="shared" si="8"/>
        <v>0</v>
      </c>
      <c r="AD22" s="195">
        <f t="shared" si="9"/>
        <v>0</v>
      </c>
      <c r="AE22" s="195">
        <f t="shared" si="10"/>
        <v>0</v>
      </c>
      <c r="AF22" s="196">
        <f t="shared" si="11"/>
        <v>0</v>
      </c>
      <c r="AG22" s="189"/>
      <c r="AH22" s="190"/>
      <c r="AI22" s="145"/>
      <c r="AJ22" s="695" t="s">
        <v>265</v>
      </c>
      <c r="AK22" s="696"/>
      <c r="AL22" s="696"/>
      <c r="AM22" s="696"/>
      <c r="AN22" s="696"/>
      <c r="AO22" s="696"/>
      <c r="AP22" s="696"/>
      <c r="AQ22" s="696"/>
      <c r="AR22" s="696"/>
      <c r="AS22" s="696"/>
      <c r="AT22" s="696"/>
      <c r="AU22" s="697"/>
      <c r="AV22" s="145"/>
    </row>
    <row r="23" spans="1:48" ht="16.5" thickBot="1">
      <c r="A23" s="145"/>
      <c r="B23" s="145"/>
      <c r="C23" s="181" t="s">
        <v>15</v>
      </c>
      <c r="D23" s="217" t="s">
        <v>17</v>
      </c>
      <c r="E23" s="177" t="s">
        <v>18</v>
      </c>
      <c r="F23" s="177" t="s">
        <v>19</v>
      </c>
      <c r="G23" s="177" t="s">
        <v>20</v>
      </c>
      <c r="H23" s="177" t="s">
        <v>21</v>
      </c>
      <c r="I23" s="177" t="s">
        <v>22</v>
      </c>
      <c r="J23" s="177" t="s">
        <v>23</v>
      </c>
      <c r="K23" s="177" t="s">
        <v>24</v>
      </c>
      <c r="L23" s="177" t="s">
        <v>25</v>
      </c>
      <c r="M23" s="177" t="s">
        <v>26</v>
      </c>
      <c r="N23" s="177" t="s">
        <v>27</v>
      </c>
      <c r="O23" s="216" t="s">
        <v>41</v>
      </c>
      <c r="P23" s="218" t="s">
        <v>256</v>
      </c>
      <c r="Q23" s="218" t="s">
        <v>257</v>
      </c>
      <c r="R23" s="150"/>
      <c r="S23" s="145"/>
      <c r="T23" s="151"/>
      <c r="U23" s="191">
        <v>0.6</v>
      </c>
      <c r="V23" s="192" t="s">
        <v>37</v>
      </c>
      <c r="W23" s="194">
        <f t="shared" si="2"/>
        <v>0</v>
      </c>
      <c r="X23" s="195">
        <f t="shared" si="3"/>
        <v>0</v>
      </c>
      <c r="Y23" s="195">
        <f t="shared" si="4"/>
        <v>0</v>
      </c>
      <c r="Z23" s="195">
        <f t="shared" si="5"/>
        <v>0</v>
      </c>
      <c r="AA23" s="195">
        <f t="shared" si="6"/>
        <v>0</v>
      </c>
      <c r="AB23" s="195">
        <f t="shared" si="7"/>
        <v>0</v>
      </c>
      <c r="AC23" s="195">
        <f t="shared" si="8"/>
        <v>0</v>
      </c>
      <c r="AD23" s="195">
        <f t="shared" si="9"/>
        <v>0</v>
      </c>
      <c r="AE23" s="195">
        <f t="shared" si="10"/>
        <v>0</v>
      </c>
      <c r="AF23" s="196">
        <f t="shared" si="11"/>
        <v>0</v>
      </c>
      <c r="AG23" s="189"/>
      <c r="AH23" s="190"/>
      <c r="AI23" s="145"/>
      <c r="AJ23" s="163"/>
      <c r="AK23" s="164" t="s">
        <v>42</v>
      </c>
      <c r="AL23" s="304"/>
      <c r="AM23" s="165" t="s">
        <v>43</v>
      </c>
      <c r="AN23" s="166"/>
      <c r="AO23" s="166"/>
      <c r="AP23" s="166"/>
      <c r="AQ23" s="166"/>
      <c r="AR23" s="166"/>
      <c r="AS23" s="166"/>
      <c r="AT23" s="166"/>
      <c r="AU23" s="168"/>
      <c r="AV23" s="145"/>
    </row>
    <row r="24" spans="1:48" ht="16.5" thickBot="1">
      <c r="A24" s="145"/>
      <c r="B24" s="219">
        <v>130.17767238163066</v>
      </c>
      <c r="C24" s="184">
        <v>50</v>
      </c>
      <c r="D24" s="220" t="s">
        <v>28</v>
      </c>
      <c r="E24" s="301">
        <v>100</v>
      </c>
      <c r="F24" s="301">
        <v>100</v>
      </c>
      <c r="G24" s="301">
        <v>100</v>
      </c>
      <c r="H24" s="301">
        <v>100</v>
      </c>
      <c r="I24" s="301"/>
      <c r="J24" s="301"/>
      <c r="K24" s="589"/>
      <c r="L24" s="301"/>
      <c r="M24" s="301"/>
      <c r="N24" s="589"/>
      <c r="O24" s="221">
        <f aca="true" t="shared" si="14" ref="O24:O36">$E$22*E24+$F$22*F24+$G$22*G24+$H$22*H24+$I$22*I24+$J$22*J24+$K$22*K24+$L$22*L24+$M$22*M24+$N$22*N24</f>
        <v>100</v>
      </c>
      <c r="P24" s="592">
        <v>100</v>
      </c>
      <c r="Q24" s="137">
        <v>100</v>
      </c>
      <c r="R24" s="150"/>
      <c r="S24" s="145"/>
      <c r="T24" s="151"/>
      <c r="U24" s="191">
        <v>0.3</v>
      </c>
      <c r="V24" s="192" t="s">
        <v>38</v>
      </c>
      <c r="W24" s="194">
        <f t="shared" si="2"/>
        <v>0</v>
      </c>
      <c r="X24" s="195">
        <f t="shared" si="3"/>
        <v>0</v>
      </c>
      <c r="Y24" s="195">
        <f t="shared" si="4"/>
        <v>0</v>
      </c>
      <c r="Z24" s="195">
        <f t="shared" si="5"/>
        <v>0</v>
      </c>
      <c r="AA24" s="195">
        <f t="shared" si="6"/>
        <v>0</v>
      </c>
      <c r="AB24" s="195">
        <f t="shared" si="7"/>
        <v>0</v>
      </c>
      <c r="AC24" s="195">
        <f t="shared" si="8"/>
        <v>0</v>
      </c>
      <c r="AD24" s="195">
        <f t="shared" si="9"/>
        <v>0</v>
      </c>
      <c r="AE24" s="195">
        <f t="shared" si="10"/>
        <v>0</v>
      </c>
      <c r="AF24" s="196">
        <f t="shared" si="11"/>
        <v>0</v>
      </c>
      <c r="AG24" s="189"/>
      <c r="AH24" s="190"/>
      <c r="AI24" s="145"/>
      <c r="AJ24" s="644" t="s">
        <v>96</v>
      </c>
      <c r="AK24" s="645"/>
      <c r="AL24" s="173">
        <f>$E$22</f>
        <v>0.11</v>
      </c>
      <c r="AM24" s="173">
        <f>$F$22</f>
        <v>0.14</v>
      </c>
      <c r="AN24" s="173">
        <f>$G$22</f>
        <v>0.66</v>
      </c>
      <c r="AO24" s="173">
        <f>$H$22</f>
        <v>0.09</v>
      </c>
      <c r="AP24" s="173">
        <f>$I$22</f>
        <v>0</v>
      </c>
      <c r="AQ24" s="173">
        <f>$J$22</f>
        <v>0</v>
      </c>
      <c r="AR24" s="173">
        <f>$K$22</f>
        <v>0</v>
      </c>
      <c r="AS24" s="173">
        <f>$L$22</f>
        <v>0</v>
      </c>
      <c r="AT24" s="173">
        <f>$M$22</f>
        <v>0</v>
      </c>
      <c r="AU24" s="173">
        <f>$N$22</f>
        <v>0</v>
      </c>
      <c r="AV24" s="145"/>
    </row>
    <row r="25" spans="1:48" ht="16.5" thickBot="1">
      <c r="A25" s="145"/>
      <c r="B25" s="219">
        <v>114.37051336098466</v>
      </c>
      <c r="C25" s="222">
        <v>37.5</v>
      </c>
      <c r="D25" s="223" t="s">
        <v>29</v>
      </c>
      <c r="E25" s="302">
        <v>100</v>
      </c>
      <c r="F25" s="302">
        <v>100</v>
      </c>
      <c r="G25" s="302">
        <v>100</v>
      </c>
      <c r="H25" s="302">
        <v>100</v>
      </c>
      <c r="I25" s="302"/>
      <c r="J25" s="302"/>
      <c r="K25" s="590"/>
      <c r="L25" s="302"/>
      <c r="M25" s="302"/>
      <c r="N25" s="590"/>
      <c r="O25" s="140">
        <f t="shared" si="14"/>
        <v>100</v>
      </c>
      <c r="P25" s="593">
        <v>100</v>
      </c>
      <c r="Q25" s="138">
        <v>100</v>
      </c>
      <c r="R25" s="150"/>
      <c r="S25" s="145"/>
      <c r="T25" s="151"/>
      <c r="U25" s="191">
        <v>0.15</v>
      </c>
      <c r="V25" s="192" t="s">
        <v>39</v>
      </c>
      <c r="W25" s="194">
        <f t="shared" si="2"/>
        <v>0</v>
      </c>
      <c r="X25" s="195">
        <f t="shared" si="3"/>
        <v>0</v>
      </c>
      <c r="Y25" s="195">
        <f t="shared" si="4"/>
        <v>0</v>
      </c>
      <c r="Z25" s="195">
        <f t="shared" si="5"/>
        <v>0</v>
      </c>
      <c r="AA25" s="195">
        <f t="shared" si="6"/>
        <v>0</v>
      </c>
      <c r="AB25" s="195">
        <f t="shared" si="7"/>
        <v>0</v>
      </c>
      <c r="AC25" s="195">
        <f t="shared" si="8"/>
        <v>0</v>
      </c>
      <c r="AD25" s="195">
        <f t="shared" si="9"/>
        <v>0</v>
      </c>
      <c r="AE25" s="195">
        <f t="shared" si="10"/>
        <v>0</v>
      </c>
      <c r="AF25" s="196">
        <f t="shared" si="11"/>
        <v>0</v>
      </c>
      <c r="AG25" s="189"/>
      <c r="AH25" s="190"/>
      <c r="AI25" s="145"/>
      <c r="AJ25" s="669" t="s">
        <v>16</v>
      </c>
      <c r="AK25" s="671"/>
      <c r="AL25" s="177" t="s">
        <v>45</v>
      </c>
      <c r="AM25" s="177" t="s">
        <v>45</v>
      </c>
      <c r="AN25" s="177" t="s">
        <v>45</v>
      </c>
      <c r="AO25" s="177" t="s">
        <v>45</v>
      </c>
      <c r="AP25" s="177" t="s">
        <v>45</v>
      </c>
      <c r="AQ25" s="177" t="s">
        <v>45</v>
      </c>
      <c r="AR25" s="177" t="s">
        <v>45</v>
      </c>
      <c r="AS25" s="177" t="s">
        <v>45</v>
      </c>
      <c r="AT25" s="177" t="s">
        <v>45</v>
      </c>
      <c r="AU25" s="177" t="s">
        <v>45</v>
      </c>
      <c r="AV25" s="145"/>
    </row>
    <row r="26" spans="1:48" ht="16.5" thickBot="1">
      <c r="A26" s="145"/>
      <c r="B26" s="219">
        <v>95.29563403272063</v>
      </c>
      <c r="C26" s="191">
        <v>25</v>
      </c>
      <c r="D26" s="224" t="s">
        <v>30</v>
      </c>
      <c r="E26" s="302">
        <v>100</v>
      </c>
      <c r="F26" s="302">
        <v>100</v>
      </c>
      <c r="G26" s="302">
        <v>100</v>
      </c>
      <c r="H26" s="302">
        <v>100</v>
      </c>
      <c r="I26" s="302"/>
      <c r="J26" s="302"/>
      <c r="K26" s="590"/>
      <c r="L26" s="302"/>
      <c r="M26" s="302"/>
      <c r="N26" s="590"/>
      <c r="O26" s="140">
        <f t="shared" si="14"/>
        <v>100</v>
      </c>
      <c r="P26" s="593">
        <v>100</v>
      </c>
      <c r="Q26" s="138">
        <v>100</v>
      </c>
      <c r="R26" s="150"/>
      <c r="S26" s="145"/>
      <c r="T26" s="151"/>
      <c r="U26" s="199">
        <v>0.075</v>
      </c>
      <c r="V26" s="200" t="s">
        <v>40</v>
      </c>
      <c r="W26" s="194">
        <f t="shared" si="2"/>
        <v>0</v>
      </c>
      <c r="X26" s="195">
        <f t="shared" si="3"/>
        <v>0</v>
      </c>
      <c r="Y26" s="195">
        <f t="shared" si="4"/>
        <v>0</v>
      </c>
      <c r="Z26" s="195">
        <f t="shared" si="5"/>
        <v>0</v>
      </c>
      <c r="AA26" s="195">
        <f t="shared" si="6"/>
        <v>0</v>
      </c>
      <c r="AB26" s="195">
        <f t="shared" si="7"/>
        <v>0</v>
      </c>
      <c r="AC26" s="195">
        <f t="shared" si="8"/>
        <v>0</v>
      </c>
      <c r="AD26" s="195">
        <f t="shared" si="9"/>
        <v>0</v>
      </c>
      <c r="AE26" s="195">
        <f t="shared" si="10"/>
        <v>0</v>
      </c>
      <c r="AF26" s="196">
        <f t="shared" si="11"/>
        <v>0</v>
      </c>
      <c r="AG26" s="189"/>
      <c r="AH26" s="190"/>
      <c r="AI26" s="145"/>
      <c r="AJ26" s="177" t="s">
        <v>15</v>
      </c>
      <c r="AK26" s="181" t="s">
        <v>17</v>
      </c>
      <c r="AL26" s="182">
        <v>1</v>
      </c>
      <c r="AM26" s="182">
        <v>2</v>
      </c>
      <c r="AN26" s="182">
        <v>3</v>
      </c>
      <c r="AO26" s="182">
        <v>4</v>
      </c>
      <c r="AP26" s="182">
        <v>5</v>
      </c>
      <c r="AQ26" s="182">
        <v>6</v>
      </c>
      <c r="AR26" s="182">
        <v>7</v>
      </c>
      <c r="AS26" s="182">
        <v>8</v>
      </c>
      <c r="AT26" s="182">
        <v>9</v>
      </c>
      <c r="AU26" s="182">
        <v>10</v>
      </c>
      <c r="AV26" s="145"/>
    </row>
    <row r="27" spans="1:48" ht="16.5" thickBot="1">
      <c r="A27" s="145"/>
      <c r="B27" s="219">
        <v>84.22463167428849</v>
      </c>
      <c r="C27" s="191">
        <v>19</v>
      </c>
      <c r="D27" s="224" t="s">
        <v>31</v>
      </c>
      <c r="E27" s="302">
        <v>100</v>
      </c>
      <c r="F27" s="302">
        <v>100</v>
      </c>
      <c r="G27" s="302">
        <v>100</v>
      </c>
      <c r="H27" s="302">
        <v>100</v>
      </c>
      <c r="I27" s="302"/>
      <c r="J27" s="302"/>
      <c r="K27" s="590"/>
      <c r="L27" s="302"/>
      <c r="M27" s="302"/>
      <c r="N27" s="590"/>
      <c r="O27" s="140">
        <f t="shared" si="14"/>
        <v>100</v>
      </c>
      <c r="P27" s="593">
        <v>100</v>
      </c>
      <c r="Q27" s="138">
        <v>100</v>
      </c>
      <c r="R27" s="150"/>
      <c r="S27" s="145"/>
      <c r="T27" s="151"/>
      <c r="U27" s="649" t="s">
        <v>46</v>
      </c>
      <c r="V27" s="643"/>
      <c r="W27" s="225">
        <f>($W$10*$W$11)*((E36-0)/100)</f>
        <v>0</v>
      </c>
      <c r="X27" s="226">
        <f>($W$10*$X$11)*((F36-0)/100)</f>
        <v>0</v>
      </c>
      <c r="Y27" s="226">
        <f>($W$10*$Y$11)*((G36-0)/100)</f>
        <v>0</v>
      </c>
      <c r="Z27" s="226">
        <f>($W$10*$Z$11)*((H36-0)/100)</f>
        <v>0</v>
      </c>
      <c r="AA27" s="226">
        <f>($W$10*$AA$11)*((I36-0)/100)</f>
        <v>0</v>
      </c>
      <c r="AB27" s="226">
        <f>($W$10*$AB$11)*((J36-0)/100)</f>
        <v>0</v>
      </c>
      <c r="AC27" s="226">
        <f>($W$10*$AC$11)*((K36-0)/100)</f>
        <v>0</v>
      </c>
      <c r="AD27" s="226">
        <f>($W$10*$AD$11)*((L36-0)/100)</f>
        <v>0</v>
      </c>
      <c r="AE27" s="226">
        <f>($W$10*$AE$11)*((M36-0)/100)</f>
        <v>0</v>
      </c>
      <c r="AF27" s="227">
        <f>($W$10*$AF$11)*((N36-0)/100)</f>
        <v>0</v>
      </c>
      <c r="AG27" s="189"/>
      <c r="AH27" s="190"/>
      <c r="AI27" s="145"/>
      <c r="AJ27" s="184">
        <v>50</v>
      </c>
      <c r="AK27" s="228" t="s">
        <v>28</v>
      </c>
      <c r="AL27" s="186">
        <f>IF($AL$23="","",(W14/SUM($W$14:$AF$20))*$AL$23)</f>
      </c>
      <c r="AM27" s="229">
        <f aca="true" t="shared" si="15" ref="AM27:AU27">IF($AL$23="","",(X14/SUM($W$14:$AF$20))*$AL$23)</f>
      </c>
      <c r="AN27" s="229">
        <f t="shared" si="15"/>
      </c>
      <c r="AO27" s="229">
        <f t="shared" si="15"/>
      </c>
      <c r="AP27" s="229">
        <f t="shared" si="15"/>
      </c>
      <c r="AQ27" s="229">
        <f t="shared" si="15"/>
      </c>
      <c r="AR27" s="229">
        <f t="shared" si="15"/>
      </c>
      <c r="AS27" s="229">
        <f t="shared" si="15"/>
      </c>
      <c r="AT27" s="229">
        <f t="shared" si="15"/>
      </c>
      <c r="AU27" s="230">
        <f t="shared" si="15"/>
      </c>
      <c r="AV27" s="145"/>
    </row>
    <row r="28" spans="1:48" ht="16.5" thickBot="1">
      <c r="A28" s="145"/>
      <c r="B28" s="219">
        <v>69.76048733668773</v>
      </c>
      <c r="C28" s="191">
        <v>12.5</v>
      </c>
      <c r="D28" s="224" t="s">
        <v>32</v>
      </c>
      <c r="E28" s="302">
        <v>38.68</v>
      </c>
      <c r="F28" s="302">
        <v>87.21333333333334</v>
      </c>
      <c r="G28" s="302">
        <v>100</v>
      </c>
      <c r="H28" s="302">
        <v>100</v>
      </c>
      <c r="I28" s="302"/>
      <c r="J28" s="302"/>
      <c r="K28" s="590"/>
      <c r="L28" s="302"/>
      <c r="M28" s="302"/>
      <c r="N28" s="590"/>
      <c r="O28" s="140">
        <f t="shared" si="14"/>
        <v>91.46466666666667</v>
      </c>
      <c r="P28" s="593">
        <v>90</v>
      </c>
      <c r="Q28" s="138">
        <v>100</v>
      </c>
      <c r="R28" s="150"/>
      <c r="S28" s="145"/>
      <c r="T28" s="151"/>
      <c r="U28" s="649" t="s">
        <v>47</v>
      </c>
      <c r="V28" s="650"/>
      <c r="W28" s="210">
        <f aca="true" t="shared" si="16" ref="W28:AF28">SUM(W14:W27)</f>
        <v>0</v>
      </c>
      <c r="X28" s="211">
        <f t="shared" si="16"/>
        <v>0</v>
      </c>
      <c r="Y28" s="211">
        <f t="shared" si="16"/>
        <v>0</v>
      </c>
      <c r="Z28" s="211">
        <f t="shared" si="16"/>
        <v>0</v>
      </c>
      <c r="AA28" s="211">
        <f t="shared" si="16"/>
        <v>0</v>
      </c>
      <c r="AB28" s="211">
        <f t="shared" si="16"/>
        <v>0</v>
      </c>
      <c r="AC28" s="211">
        <f t="shared" si="16"/>
        <v>0</v>
      </c>
      <c r="AD28" s="211">
        <f t="shared" si="16"/>
        <v>0</v>
      </c>
      <c r="AE28" s="211">
        <f t="shared" si="16"/>
        <v>0</v>
      </c>
      <c r="AF28" s="212">
        <f t="shared" si="16"/>
        <v>0</v>
      </c>
      <c r="AG28" s="189"/>
      <c r="AH28" s="190"/>
      <c r="AI28" s="145"/>
      <c r="AJ28" s="191">
        <v>37.5</v>
      </c>
      <c r="AK28" s="224" t="s">
        <v>29</v>
      </c>
      <c r="AL28" s="194">
        <f aca="true" t="shared" si="17" ref="AL28:AL33">IF($AL$23="","",(W15/SUM($W$14:$AF$20))*$AL$23)</f>
      </c>
      <c r="AM28" s="231">
        <f aca="true" t="shared" si="18" ref="AM28:AM33">IF($AL$23="","",(X15/SUM($W$14:$AF$20))*$AL$23)</f>
      </c>
      <c r="AN28" s="231">
        <f aca="true" t="shared" si="19" ref="AN28:AN33">IF($AL$23="","",(Y15/SUM($W$14:$AF$20))*$AL$23)</f>
      </c>
      <c r="AO28" s="231">
        <f aca="true" t="shared" si="20" ref="AO28:AO33">IF($AL$23="","",(Z15/SUM($W$14:$AF$20))*$AL$23)</f>
      </c>
      <c r="AP28" s="231">
        <f aca="true" t="shared" si="21" ref="AP28:AP33">IF($AL$23="","",(AA15/SUM($W$14:$AF$20))*$AL$23)</f>
      </c>
      <c r="AQ28" s="231">
        <f aca="true" t="shared" si="22" ref="AQ28:AQ33">IF($AL$23="","",(AB15/SUM($W$14:$AF$20))*$AL$23)</f>
      </c>
      <c r="AR28" s="231">
        <f aca="true" t="shared" si="23" ref="AR28:AR33">IF($AL$23="","",(AC15/SUM($W$14:$AF$20))*$AL$23)</f>
      </c>
      <c r="AS28" s="231">
        <f aca="true" t="shared" si="24" ref="AS28:AS33">IF($AL$23="","",(AD15/SUM($W$14:$AF$20))*$AL$23)</f>
      </c>
      <c r="AT28" s="231">
        <f aca="true" t="shared" si="25" ref="AT28:AT33">IF($AL$23="","",(AE15/SUM($W$14:$AF$20))*$AL$23)</f>
      </c>
      <c r="AU28" s="232">
        <f aca="true" t="shared" si="26" ref="AU28:AU33">IF($AL$23="","",(AF15/SUM($W$14:$AF$20))*$AL$23)</f>
      </c>
      <c r="AV28" s="145"/>
    </row>
    <row r="29" spans="1:48" ht="15" customHeight="1">
      <c r="A29" s="145"/>
      <c r="B29" s="219">
        <v>61.65603924030734</v>
      </c>
      <c r="C29" s="191">
        <v>9.5</v>
      </c>
      <c r="D29" s="224" t="s">
        <v>33</v>
      </c>
      <c r="E29" s="302">
        <v>4.806666666666672</v>
      </c>
      <c r="F29" s="641">
        <v>39.96</v>
      </c>
      <c r="G29" s="302">
        <v>100</v>
      </c>
      <c r="H29" s="302">
        <v>100</v>
      </c>
      <c r="I29" s="302"/>
      <c r="J29" s="302"/>
      <c r="K29" s="590"/>
      <c r="L29" s="302"/>
      <c r="M29" s="302"/>
      <c r="N29" s="590"/>
      <c r="O29" s="140">
        <f t="shared" si="14"/>
        <v>81.12313333333333</v>
      </c>
      <c r="P29" s="593">
        <v>78</v>
      </c>
      <c r="Q29" s="138">
        <v>92</v>
      </c>
      <c r="R29" s="150"/>
      <c r="S29" s="145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0"/>
      <c r="AH29" s="151"/>
      <c r="AI29" s="145"/>
      <c r="AJ29" s="191">
        <v>25</v>
      </c>
      <c r="AK29" s="224" t="s">
        <v>30</v>
      </c>
      <c r="AL29" s="194">
        <f t="shared" si="17"/>
      </c>
      <c r="AM29" s="231">
        <f t="shared" si="18"/>
      </c>
      <c r="AN29" s="231">
        <f t="shared" si="19"/>
      </c>
      <c r="AO29" s="231">
        <f t="shared" si="20"/>
      </c>
      <c r="AP29" s="231">
        <f t="shared" si="21"/>
      </c>
      <c r="AQ29" s="231">
        <f t="shared" si="22"/>
      </c>
      <c r="AR29" s="231">
        <f t="shared" si="23"/>
      </c>
      <c r="AS29" s="231">
        <f t="shared" si="24"/>
      </c>
      <c r="AT29" s="231">
        <f t="shared" si="25"/>
      </c>
      <c r="AU29" s="232">
        <f t="shared" si="26"/>
      </c>
      <c r="AV29" s="145"/>
    </row>
    <row r="30" spans="1:48" ht="18.75" thickBot="1">
      <c r="A30" s="145"/>
      <c r="B30" s="219">
        <v>45.13486256019806</v>
      </c>
      <c r="C30" s="191">
        <v>4.75</v>
      </c>
      <c r="D30" s="233" t="s">
        <v>34</v>
      </c>
      <c r="E30" s="302">
        <v>0.6200000000000045</v>
      </c>
      <c r="F30" s="302">
        <v>0.6733333333333462</v>
      </c>
      <c r="G30" s="302">
        <v>72.86666666666667</v>
      </c>
      <c r="H30" s="302">
        <v>95.18</v>
      </c>
      <c r="I30" s="302"/>
      <c r="J30" s="302"/>
      <c r="K30" s="590"/>
      <c r="L30" s="302"/>
      <c r="M30" s="302"/>
      <c r="N30" s="590"/>
      <c r="O30" s="140">
        <f t="shared" si="14"/>
        <v>56.820666666666675</v>
      </c>
      <c r="P30" s="593">
        <v>44</v>
      </c>
      <c r="Q30" s="138">
        <v>74</v>
      </c>
      <c r="R30" s="150"/>
      <c r="S30" s="145"/>
      <c r="T30" s="151"/>
      <c r="U30" s="234" t="s">
        <v>48</v>
      </c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6"/>
      <c r="AH30" s="235"/>
      <c r="AI30" s="145"/>
      <c r="AJ30" s="191">
        <v>19</v>
      </c>
      <c r="AK30" s="224" t="s">
        <v>31</v>
      </c>
      <c r="AL30" s="194">
        <f t="shared" si="17"/>
      </c>
      <c r="AM30" s="231">
        <f t="shared" si="18"/>
      </c>
      <c r="AN30" s="231">
        <f t="shared" si="19"/>
      </c>
      <c r="AO30" s="231">
        <f t="shared" si="20"/>
      </c>
      <c r="AP30" s="231">
        <f t="shared" si="21"/>
      </c>
      <c r="AQ30" s="231">
        <f t="shared" si="22"/>
      </c>
      <c r="AR30" s="231">
        <f t="shared" si="23"/>
      </c>
      <c r="AS30" s="231">
        <f t="shared" si="24"/>
      </c>
      <c r="AT30" s="231">
        <f t="shared" si="25"/>
      </c>
      <c r="AU30" s="232">
        <f t="shared" si="26"/>
      </c>
      <c r="AV30" s="145"/>
    </row>
    <row r="31" spans="1:48" ht="15.75">
      <c r="A31" s="145"/>
      <c r="B31" s="219">
        <v>32.946584684146316</v>
      </c>
      <c r="C31" s="191">
        <v>2.36</v>
      </c>
      <c r="D31" s="233" t="s">
        <v>35</v>
      </c>
      <c r="E31" s="302">
        <v>0.5400000000000063</v>
      </c>
      <c r="F31" s="302">
        <v>0.6600000000000108</v>
      </c>
      <c r="G31" s="302">
        <v>48.653333333333336</v>
      </c>
      <c r="H31" s="302">
        <v>70.72</v>
      </c>
      <c r="I31" s="302"/>
      <c r="J31" s="302"/>
      <c r="K31" s="590"/>
      <c r="L31" s="302"/>
      <c r="M31" s="302"/>
      <c r="N31" s="590"/>
      <c r="O31" s="140">
        <f t="shared" si="14"/>
        <v>38.62780000000001</v>
      </c>
      <c r="P31" s="593">
        <v>28</v>
      </c>
      <c r="Q31" s="138">
        <v>58</v>
      </c>
      <c r="R31" s="150"/>
      <c r="S31" s="145"/>
      <c r="T31" s="151"/>
      <c r="U31" s="235"/>
      <c r="V31" s="235"/>
      <c r="W31" s="235" t="s">
        <v>49</v>
      </c>
      <c r="X31" s="237">
        <v>1</v>
      </c>
      <c r="Y31" s="238">
        <v>2</v>
      </c>
      <c r="Z31" s="238">
        <v>3</v>
      </c>
      <c r="AA31" s="238">
        <v>4</v>
      </c>
      <c r="AB31" s="239">
        <v>5</v>
      </c>
      <c r="AC31" s="240"/>
      <c r="AD31" s="240"/>
      <c r="AE31" s="240"/>
      <c r="AF31" s="235"/>
      <c r="AG31" s="236"/>
      <c r="AH31" s="235"/>
      <c r="AI31" s="145"/>
      <c r="AJ31" s="191">
        <v>12.5</v>
      </c>
      <c r="AK31" s="224" t="s">
        <v>32</v>
      </c>
      <c r="AL31" s="194">
        <f t="shared" si="17"/>
      </c>
      <c r="AM31" s="231">
        <f t="shared" si="18"/>
      </c>
      <c r="AN31" s="231">
        <f t="shared" si="19"/>
      </c>
      <c r="AO31" s="231">
        <f t="shared" si="20"/>
      </c>
      <c r="AP31" s="231">
        <f t="shared" si="21"/>
      </c>
      <c r="AQ31" s="231">
        <f t="shared" si="22"/>
      </c>
      <c r="AR31" s="231">
        <f t="shared" si="23"/>
      </c>
      <c r="AS31" s="231">
        <f t="shared" si="24"/>
      </c>
      <c r="AT31" s="231">
        <f t="shared" si="25"/>
      </c>
      <c r="AU31" s="232">
        <f t="shared" si="26"/>
      </c>
      <c r="AV31" s="145"/>
    </row>
    <row r="32" spans="1:48" ht="15.75">
      <c r="A32" s="145"/>
      <c r="B32" s="219">
        <v>24.11831168315992</v>
      </c>
      <c r="C32" s="191">
        <v>1.18</v>
      </c>
      <c r="D32" s="233" t="s">
        <v>36</v>
      </c>
      <c r="E32" s="302">
        <v>0.5333333333333456</v>
      </c>
      <c r="F32" s="302">
        <v>0.646000000000015</v>
      </c>
      <c r="G32" s="302">
        <v>31.446666666666673</v>
      </c>
      <c r="H32" s="302">
        <v>50.76</v>
      </c>
      <c r="I32" s="302"/>
      <c r="J32" s="302"/>
      <c r="K32" s="590"/>
      <c r="L32" s="302"/>
      <c r="M32" s="302"/>
      <c r="N32" s="590"/>
      <c r="O32" s="140">
        <f t="shared" si="14"/>
        <v>25.47230666666668</v>
      </c>
      <c r="P32" s="593">
        <v>20</v>
      </c>
      <c r="Q32" s="138">
        <v>45</v>
      </c>
      <c r="R32" s="150"/>
      <c r="S32" s="145"/>
      <c r="T32" s="151"/>
      <c r="U32" s="235"/>
      <c r="V32" s="235"/>
      <c r="W32" s="235" t="s">
        <v>50</v>
      </c>
      <c r="X32" s="305">
        <v>0.05</v>
      </c>
      <c r="Y32" s="306">
        <v>0.055</v>
      </c>
      <c r="Z32" s="306">
        <v>0.06</v>
      </c>
      <c r="AA32" s="306"/>
      <c r="AB32" s="307"/>
      <c r="AC32" s="241"/>
      <c r="AD32" s="241"/>
      <c r="AE32" s="241"/>
      <c r="AF32" s="235"/>
      <c r="AG32" s="236"/>
      <c r="AH32" s="235"/>
      <c r="AI32" s="145"/>
      <c r="AJ32" s="191">
        <v>9.5</v>
      </c>
      <c r="AK32" s="224" t="s">
        <v>33</v>
      </c>
      <c r="AL32" s="194">
        <f t="shared" si="17"/>
      </c>
      <c r="AM32" s="231">
        <f t="shared" si="18"/>
      </c>
      <c r="AN32" s="231">
        <f t="shared" si="19"/>
      </c>
      <c r="AO32" s="231">
        <f t="shared" si="20"/>
      </c>
      <c r="AP32" s="231">
        <f t="shared" si="21"/>
      </c>
      <c r="AQ32" s="231">
        <f t="shared" si="22"/>
      </c>
      <c r="AR32" s="231">
        <f t="shared" si="23"/>
      </c>
      <c r="AS32" s="231">
        <f t="shared" si="24"/>
      </c>
      <c r="AT32" s="231">
        <f t="shared" si="25"/>
      </c>
      <c r="AU32" s="232">
        <f t="shared" si="26"/>
      </c>
      <c r="AV32" s="145"/>
    </row>
    <row r="33" spans="1:48" ht="16.5" thickBot="1">
      <c r="A33" s="145"/>
      <c r="B33" s="219">
        <v>17.789676992918196</v>
      </c>
      <c r="C33" s="191">
        <v>0.6</v>
      </c>
      <c r="D33" s="233" t="s">
        <v>37</v>
      </c>
      <c r="E33" s="302">
        <v>0.526666666666685</v>
      </c>
      <c r="F33" s="302">
        <v>0.6326666666666796</v>
      </c>
      <c r="G33" s="302">
        <v>20.66</v>
      </c>
      <c r="H33" s="302">
        <v>37.233333333333334</v>
      </c>
      <c r="I33" s="302"/>
      <c r="J33" s="302"/>
      <c r="K33" s="590"/>
      <c r="L33" s="302"/>
      <c r="M33" s="302"/>
      <c r="N33" s="590"/>
      <c r="O33" s="140">
        <f t="shared" si="14"/>
        <v>17.13310666666667</v>
      </c>
      <c r="P33" s="593">
        <v>12</v>
      </c>
      <c r="Q33" s="138">
        <v>32</v>
      </c>
      <c r="R33" s="150"/>
      <c r="S33" s="145"/>
      <c r="T33" s="151"/>
      <c r="U33" s="235"/>
      <c r="V33" s="235"/>
      <c r="W33" s="235" t="s">
        <v>51</v>
      </c>
      <c r="X33" s="242">
        <f>($W$10/(1-X32))-$W$10</f>
        <v>0</v>
      </c>
      <c r="Y33" s="243">
        <f>($W$10/(1-Y32))-$W$10</f>
        <v>0</v>
      </c>
      <c r="Z33" s="243">
        <f>($W$10/(1-Z32))-$W$10</f>
        <v>0</v>
      </c>
      <c r="AA33" s="243">
        <f>($W$10/(1-AA32))-$W$10</f>
        <v>0</v>
      </c>
      <c r="AB33" s="244">
        <f>($W$10/(1-AB32))-$W$10</f>
        <v>0</v>
      </c>
      <c r="AC33" s="245" t="s">
        <v>43</v>
      </c>
      <c r="AD33" s="246"/>
      <c r="AE33" s="246"/>
      <c r="AF33" s="151"/>
      <c r="AG33" s="150"/>
      <c r="AH33" s="151"/>
      <c r="AI33" s="145"/>
      <c r="AJ33" s="191">
        <v>4.75</v>
      </c>
      <c r="AK33" s="224" t="s">
        <v>34</v>
      </c>
      <c r="AL33" s="225">
        <f t="shared" si="17"/>
      </c>
      <c r="AM33" s="631">
        <f t="shared" si="18"/>
      </c>
      <c r="AN33" s="631">
        <f t="shared" si="19"/>
      </c>
      <c r="AO33" s="631">
        <f t="shared" si="20"/>
      </c>
      <c r="AP33" s="631">
        <f t="shared" si="21"/>
      </c>
      <c r="AQ33" s="631">
        <f t="shared" si="22"/>
      </c>
      <c r="AR33" s="631">
        <f t="shared" si="23"/>
      </c>
      <c r="AS33" s="631">
        <f t="shared" si="24"/>
      </c>
      <c r="AT33" s="631">
        <f t="shared" si="25"/>
      </c>
      <c r="AU33" s="632">
        <f t="shared" si="26"/>
      </c>
      <c r="AV33" s="209"/>
    </row>
    <row r="34" spans="1:48" ht="15.75" customHeight="1" thickBot="1">
      <c r="A34" s="145"/>
      <c r="B34" s="219">
        <v>13.02280581041226</v>
      </c>
      <c r="C34" s="191">
        <v>0.3</v>
      </c>
      <c r="D34" s="233" t="s">
        <v>38</v>
      </c>
      <c r="E34" s="302">
        <v>0.5133333333333496</v>
      </c>
      <c r="F34" s="302">
        <v>0.5993333333333482</v>
      </c>
      <c r="G34" s="302">
        <v>13.48</v>
      </c>
      <c r="H34" s="302">
        <v>28.073333333333338</v>
      </c>
      <c r="I34" s="302"/>
      <c r="J34" s="302"/>
      <c r="K34" s="590"/>
      <c r="L34" s="302"/>
      <c r="M34" s="302"/>
      <c r="N34" s="590"/>
      <c r="O34" s="140">
        <f t="shared" si="14"/>
        <v>11.563773333333337</v>
      </c>
      <c r="P34" s="593">
        <v>5</v>
      </c>
      <c r="Q34" s="138">
        <v>21</v>
      </c>
      <c r="R34" s="150"/>
      <c r="S34" s="145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0"/>
      <c r="AH34" s="151"/>
      <c r="AI34" s="145"/>
      <c r="AJ34" s="669" t="s">
        <v>47</v>
      </c>
      <c r="AK34" s="670"/>
      <c r="AL34" s="264">
        <f aca="true" t="shared" si="27" ref="AL34:AU34">SUM(AL28:AL33)</f>
        <v>0</v>
      </c>
      <c r="AM34" s="629">
        <f t="shared" si="27"/>
        <v>0</v>
      </c>
      <c r="AN34" s="629">
        <f t="shared" si="27"/>
        <v>0</v>
      </c>
      <c r="AO34" s="629">
        <f t="shared" si="27"/>
        <v>0</v>
      </c>
      <c r="AP34" s="629">
        <f t="shared" si="27"/>
        <v>0</v>
      </c>
      <c r="AQ34" s="629">
        <f t="shared" si="27"/>
        <v>0</v>
      </c>
      <c r="AR34" s="629">
        <f t="shared" si="27"/>
        <v>0</v>
      </c>
      <c r="AS34" s="629">
        <f t="shared" si="27"/>
        <v>0</v>
      </c>
      <c r="AT34" s="629">
        <f t="shared" si="27"/>
        <v>0</v>
      </c>
      <c r="AU34" s="630">
        <f t="shared" si="27"/>
        <v>0</v>
      </c>
      <c r="AV34" s="145"/>
    </row>
    <row r="35" spans="1:48" ht="15.75">
      <c r="A35" s="145"/>
      <c r="B35" s="219">
        <v>9.533251854051084</v>
      </c>
      <c r="C35" s="191">
        <v>0.15</v>
      </c>
      <c r="D35" s="233" t="s">
        <v>39</v>
      </c>
      <c r="E35" s="302">
        <v>0.4933333333333536</v>
      </c>
      <c r="F35" s="302">
        <v>0.5593333333333419</v>
      </c>
      <c r="G35" s="302">
        <v>10.066666666666663</v>
      </c>
      <c r="H35" s="302">
        <v>22.74</v>
      </c>
      <c r="I35" s="302"/>
      <c r="J35" s="302"/>
      <c r="K35" s="590"/>
      <c r="L35" s="302"/>
      <c r="M35" s="302"/>
      <c r="N35" s="590"/>
      <c r="O35" s="140">
        <f t="shared" si="14"/>
        <v>8.823173333333333</v>
      </c>
      <c r="P35" s="593">
        <v>3</v>
      </c>
      <c r="Q35" s="138">
        <v>17</v>
      </c>
      <c r="R35" s="150"/>
      <c r="S35" s="145"/>
      <c r="T35" s="151"/>
      <c r="U35" s="646" t="s">
        <v>263</v>
      </c>
      <c r="V35" s="647"/>
      <c r="W35" s="647"/>
      <c r="X35" s="647"/>
      <c r="Y35" s="647"/>
      <c r="Z35" s="647"/>
      <c r="AA35" s="647"/>
      <c r="AB35" s="647"/>
      <c r="AC35" s="647"/>
      <c r="AD35" s="647"/>
      <c r="AE35" s="647"/>
      <c r="AF35" s="674"/>
      <c r="AG35" s="150"/>
      <c r="AH35" s="151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</row>
    <row r="36" spans="1:48" ht="18.75" customHeight="1" thickBot="1">
      <c r="A36" s="145"/>
      <c r="B36" s="219">
        <v>6.978748837681653</v>
      </c>
      <c r="C36" s="249">
        <v>0.075</v>
      </c>
      <c r="D36" s="250" t="s">
        <v>40</v>
      </c>
      <c r="E36" s="642">
        <v>0.4733333333333576</v>
      </c>
      <c r="F36" s="303">
        <v>0.512666666666675</v>
      </c>
      <c r="G36" s="303">
        <v>8.053333333333327</v>
      </c>
      <c r="H36" s="303">
        <v>19.646666666666675</v>
      </c>
      <c r="I36" s="303"/>
      <c r="J36" s="303"/>
      <c r="K36" s="591"/>
      <c r="L36" s="303"/>
      <c r="M36" s="303"/>
      <c r="N36" s="591"/>
      <c r="O36" s="251">
        <f t="shared" si="14"/>
        <v>7.2072400000000005</v>
      </c>
      <c r="P36" s="594">
        <v>2</v>
      </c>
      <c r="Q36" s="139">
        <v>10</v>
      </c>
      <c r="R36" s="150"/>
      <c r="S36" s="145"/>
      <c r="T36" s="151"/>
      <c r="U36" s="675"/>
      <c r="V36" s="676"/>
      <c r="W36" s="676"/>
      <c r="X36" s="676"/>
      <c r="Y36" s="676"/>
      <c r="Z36" s="676"/>
      <c r="AA36" s="676"/>
      <c r="AB36" s="676"/>
      <c r="AC36" s="676"/>
      <c r="AD36" s="676"/>
      <c r="AE36" s="676"/>
      <c r="AF36" s="677"/>
      <c r="AG36" s="150"/>
      <c r="AH36" s="151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</row>
    <row r="37" spans="1:48" ht="18.75" thickBo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50"/>
      <c r="S37" s="145"/>
      <c r="T37" s="151"/>
      <c r="U37" s="252" t="s">
        <v>95</v>
      </c>
      <c r="V37" s="206"/>
      <c r="W37" s="206"/>
      <c r="X37" s="308"/>
      <c r="Y37" s="253" t="s">
        <v>43</v>
      </c>
      <c r="Z37" s="206"/>
      <c r="AA37" s="206"/>
      <c r="AB37" s="206"/>
      <c r="AC37" s="206"/>
      <c r="AD37" s="206"/>
      <c r="AE37" s="206"/>
      <c r="AF37" s="207"/>
      <c r="AG37" s="150"/>
      <c r="AH37" s="151"/>
      <c r="AI37" s="145"/>
      <c r="AJ37" s="695" t="s">
        <v>266</v>
      </c>
      <c r="AK37" s="696"/>
      <c r="AL37" s="696"/>
      <c r="AM37" s="696"/>
      <c r="AN37" s="696"/>
      <c r="AO37" s="696"/>
      <c r="AP37" s="696"/>
      <c r="AQ37" s="696"/>
      <c r="AR37" s="696"/>
      <c r="AS37" s="696"/>
      <c r="AT37" s="696"/>
      <c r="AU37" s="697"/>
      <c r="AV37" s="145"/>
    </row>
    <row r="38" spans="1:48" ht="16.5" thickBo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50"/>
      <c r="S38" s="145"/>
      <c r="T38" s="151"/>
      <c r="U38" s="644" t="s">
        <v>96</v>
      </c>
      <c r="V38" s="645"/>
      <c r="W38" s="173">
        <f>$E$22</f>
        <v>0.11</v>
      </c>
      <c r="X38" s="173">
        <f>$F$22</f>
        <v>0.14</v>
      </c>
      <c r="Y38" s="173">
        <f>$G$22</f>
        <v>0.66</v>
      </c>
      <c r="Z38" s="173">
        <f>$H$22</f>
        <v>0.09</v>
      </c>
      <c r="AA38" s="173">
        <f>$I$22</f>
        <v>0</v>
      </c>
      <c r="AB38" s="173">
        <f>$J$22</f>
        <v>0</v>
      </c>
      <c r="AC38" s="173">
        <f>$K$22</f>
        <v>0</v>
      </c>
      <c r="AD38" s="173">
        <f>$L$22</f>
        <v>0</v>
      </c>
      <c r="AE38" s="173">
        <f>$M$22</f>
        <v>0</v>
      </c>
      <c r="AF38" s="173">
        <f>$N$22</f>
        <v>0</v>
      </c>
      <c r="AG38" s="171"/>
      <c r="AH38" s="172"/>
      <c r="AI38" s="145"/>
      <c r="AJ38" s="163"/>
      <c r="AK38" s="164" t="s">
        <v>42</v>
      </c>
      <c r="AL38" s="304"/>
      <c r="AM38" s="165" t="s">
        <v>43</v>
      </c>
      <c r="AN38" s="166"/>
      <c r="AO38" s="166"/>
      <c r="AP38" s="166"/>
      <c r="AQ38" s="166"/>
      <c r="AR38" s="166"/>
      <c r="AS38" s="166"/>
      <c r="AT38" s="166"/>
      <c r="AU38" s="168"/>
      <c r="AV38" s="145"/>
    </row>
    <row r="39" spans="1:48" ht="16.5" thickBo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50"/>
      <c r="S39" s="145"/>
      <c r="T39" s="151"/>
      <c r="U39" s="669" t="s">
        <v>16</v>
      </c>
      <c r="V39" s="670"/>
      <c r="W39" s="177" t="s">
        <v>45</v>
      </c>
      <c r="X39" s="177" t="s">
        <v>45</v>
      </c>
      <c r="Y39" s="177" t="s">
        <v>45</v>
      </c>
      <c r="Z39" s="177" t="s">
        <v>45</v>
      </c>
      <c r="AA39" s="177" t="s">
        <v>45</v>
      </c>
      <c r="AB39" s="177" t="s">
        <v>45</v>
      </c>
      <c r="AC39" s="177" t="s">
        <v>45</v>
      </c>
      <c r="AD39" s="177" t="s">
        <v>45</v>
      </c>
      <c r="AE39" s="177" t="s">
        <v>45</v>
      </c>
      <c r="AF39" s="177" t="s">
        <v>45</v>
      </c>
      <c r="AG39" s="178"/>
      <c r="AH39" s="179"/>
      <c r="AI39" s="145"/>
      <c r="AJ39" s="644" t="s">
        <v>96</v>
      </c>
      <c r="AK39" s="645"/>
      <c r="AL39" s="173">
        <f>$E$22</f>
        <v>0.11</v>
      </c>
      <c r="AM39" s="173">
        <f>$F$22</f>
        <v>0.14</v>
      </c>
      <c r="AN39" s="173">
        <f>$G$22</f>
        <v>0.66</v>
      </c>
      <c r="AO39" s="173">
        <f>$H$22</f>
        <v>0.09</v>
      </c>
      <c r="AP39" s="173">
        <f>$I$22</f>
        <v>0</v>
      </c>
      <c r="AQ39" s="173">
        <f>$J$22</f>
        <v>0</v>
      </c>
      <c r="AR39" s="173">
        <f>$K$22</f>
        <v>0</v>
      </c>
      <c r="AS39" s="173">
        <f>$L$22</f>
        <v>0</v>
      </c>
      <c r="AT39" s="173">
        <f>$M$22</f>
        <v>0</v>
      </c>
      <c r="AU39" s="173">
        <f>$N$22</f>
        <v>0</v>
      </c>
      <c r="AV39" s="145"/>
    </row>
    <row r="40" spans="1:48" ht="16.5" thickBo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50"/>
      <c r="S40" s="145"/>
      <c r="T40" s="151"/>
      <c r="U40" s="177" t="s">
        <v>15</v>
      </c>
      <c r="V40" s="181" t="s">
        <v>17</v>
      </c>
      <c r="W40" s="182">
        <v>1</v>
      </c>
      <c r="X40" s="182">
        <v>2</v>
      </c>
      <c r="Y40" s="182">
        <v>3</v>
      </c>
      <c r="Z40" s="182">
        <v>4</v>
      </c>
      <c r="AA40" s="182">
        <v>5</v>
      </c>
      <c r="AB40" s="182">
        <v>6</v>
      </c>
      <c r="AC40" s="182">
        <v>7</v>
      </c>
      <c r="AD40" s="182">
        <v>8</v>
      </c>
      <c r="AE40" s="182">
        <v>9</v>
      </c>
      <c r="AF40" s="182">
        <v>10</v>
      </c>
      <c r="AG40" s="178"/>
      <c r="AH40" s="179"/>
      <c r="AI40" s="145"/>
      <c r="AJ40" s="669" t="s">
        <v>16</v>
      </c>
      <c r="AK40" s="671"/>
      <c r="AL40" s="177" t="s">
        <v>45</v>
      </c>
      <c r="AM40" s="177" t="s">
        <v>45</v>
      </c>
      <c r="AN40" s="177" t="s">
        <v>45</v>
      </c>
      <c r="AO40" s="177" t="s">
        <v>45</v>
      </c>
      <c r="AP40" s="177" t="s">
        <v>45</v>
      </c>
      <c r="AQ40" s="177" t="s">
        <v>45</v>
      </c>
      <c r="AR40" s="177" t="s">
        <v>45</v>
      </c>
      <c r="AS40" s="177" t="s">
        <v>45</v>
      </c>
      <c r="AT40" s="177" t="s">
        <v>45</v>
      </c>
      <c r="AU40" s="177" t="s">
        <v>45</v>
      </c>
      <c r="AV40" s="145"/>
    </row>
    <row r="41" spans="1:48" ht="16.5" thickBo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50"/>
      <c r="S41" s="145"/>
      <c r="T41" s="151"/>
      <c r="U41" s="184">
        <v>50</v>
      </c>
      <c r="V41" s="228" t="s">
        <v>28</v>
      </c>
      <c r="W41" s="186">
        <f>IF($X$37="","",(W14/SUM($W$14:$AF$20))*$X$37)</f>
      </c>
      <c r="X41" s="229">
        <f aca="true" t="shared" si="28" ref="X41:AF41">IF($X$37="","",(X14/SUM($W$14:$AF$20))*$X$37)</f>
      </c>
      <c r="Y41" s="229">
        <f t="shared" si="28"/>
      </c>
      <c r="Z41" s="229">
        <f t="shared" si="28"/>
      </c>
      <c r="AA41" s="229">
        <f t="shared" si="28"/>
      </c>
      <c r="AB41" s="229">
        <f t="shared" si="28"/>
      </c>
      <c r="AC41" s="229">
        <f t="shared" si="28"/>
      </c>
      <c r="AD41" s="229">
        <f t="shared" si="28"/>
      </c>
      <c r="AE41" s="229">
        <f t="shared" si="28"/>
      </c>
      <c r="AF41" s="230">
        <f t="shared" si="28"/>
      </c>
      <c r="AG41" s="189"/>
      <c r="AH41" s="190"/>
      <c r="AI41" s="145"/>
      <c r="AJ41" s="254" t="s">
        <v>15</v>
      </c>
      <c r="AK41" s="254" t="s">
        <v>17</v>
      </c>
      <c r="AL41" s="182">
        <v>1</v>
      </c>
      <c r="AM41" s="182">
        <v>2</v>
      </c>
      <c r="AN41" s="182">
        <v>3</v>
      </c>
      <c r="AO41" s="182">
        <v>4</v>
      </c>
      <c r="AP41" s="182">
        <v>5</v>
      </c>
      <c r="AQ41" s="182">
        <v>6</v>
      </c>
      <c r="AR41" s="182">
        <v>7</v>
      </c>
      <c r="AS41" s="182">
        <v>8</v>
      </c>
      <c r="AT41" s="182">
        <v>9</v>
      </c>
      <c r="AU41" s="182">
        <v>10</v>
      </c>
      <c r="AV41" s="145"/>
    </row>
    <row r="42" spans="1:48" ht="15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50"/>
      <c r="S42" s="145"/>
      <c r="T42" s="151"/>
      <c r="U42" s="191">
        <v>37.5</v>
      </c>
      <c r="V42" s="224" t="s">
        <v>29</v>
      </c>
      <c r="W42" s="194">
        <f>IF($X$37="","",(W15/SUM($W$14:$AF$20))*$X$37)</f>
      </c>
      <c r="X42" s="231">
        <f aca="true" t="shared" si="29" ref="X42:AF42">IF($X$37="","",(X15/SUM($W$14:$AF$20))*$X$37)</f>
      </c>
      <c r="Y42" s="231">
        <f t="shared" si="29"/>
      </c>
      <c r="Z42" s="231">
        <f t="shared" si="29"/>
      </c>
      <c r="AA42" s="231">
        <f t="shared" si="29"/>
      </c>
      <c r="AB42" s="231">
        <f t="shared" si="29"/>
      </c>
      <c r="AC42" s="231">
        <f t="shared" si="29"/>
      </c>
      <c r="AD42" s="231">
        <f t="shared" si="29"/>
      </c>
      <c r="AE42" s="231">
        <f t="shared" si="29"/>
      </c>
      <c r="AF42" s="232">
        <f t="shared" si="29"/>
      </c>
      <c r="AG42" s="189"/>
      <c r="AH42" s="190"/>
      <c r="AI42" s="145"/>
      <c r="AJ42" s="222">
        <v>2.36</v>
      </c>
      <c r="AK42" s="223" t="s">
        <v>35</v>
      </c>
      <c r="AL42" s="186">
        <f>IF($AL$38="","",(W21/SUM($W$21:$AF$27))*$AL$38)</f>
      </c>
      <c r="AM42" s="229">
        <f aca="true" t="shared" si="30" ref="AM42:AU42">IF($AL$38="","",(X21/SUM($W$21:$AF$27))*$AL$38)</f>
      </c>
      <c r="AN42" s="229">
        <f t="shared" si="30"/>
      </c>
      <c r="AO42" s="229">
        <f t="shared" si="30"/>
      </c>
      <c r="AP42" s="229">
        <f t="shared" si="30"/>
      </c>
      <c r="AQ42" s="229">
        <f t="shared" si="30"/>
      </c>
      <c r="AR42" s="229">
        <f t="shared" si="30"/>
      </c>
      <c r="AS42" s="229">
        <f t="shared" si="30"/>
      </c>
      <c r="AT42" s="229">
        <f t="shared" si="30"/>
      </c>
      <c r="AU42" s="230">
        <f t="shared" si="30"/>
      </c>
      <c r="AV42" s="145"/>
    </row>
    <row r="43" spans="1:48" ht="15.7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50"/>
      <c r="S43" s="145"/>
      <c r="T43" s="151"/>
      <c r="U43" s="191">
        <v>25</v>
      </c>
      <c r="V43" s="224" t="s">
        <v>30</v>
      </c>
      <c r="W43" s="194">
        <f>IF($X$37="","",(W16/SUM($W$14:$AF$20))*$X$37)</f>
      </c>
      <c r="X43" s="231">
        <f aca="true" t="shared" si="31" ref="X43:AF43">IF($X$37="","",(X16/SUM($W$14:$AF$20))*$X$37)</f>
      </c>
      <c r="Y43" s="231">
        <f t="shared" si="31"/>
      </c>
      <c r="Z43" s="231">
        <f t="shared" si="31"/>
      </c>
      <c r="AA43" s="231">
        <f t="shared" si="31"/>
      </c>
      <c r="AB43" s="231">
        <f t="shared" si="31"/>
      </c>
      <c r="AC43" s="231">
        <f t="shared" si="31"/>
      </c>
      <c r="AD43" s="231">
        <f t="shared" si="31"/>
      </c>
      <c r="AE43" s="231">
        <f t="shared" si="31"/>
      </c>
      <c r="AF43" s="232">
        <f t="shared" si="31"/>
      </c>
      <c r="AG43" s="189"/>
      <c r="AH43" s="190"/>
      <c r="AI43" s="145"/>
      <c r="AJ43" s="191">
        <v>1.18</v>
      </c>
      <c r="AK43" s="224" t="s">
        <v>36</v>
      </c>
      <c r="AL43" s="194">
        <f aca="true" t="shared" si="32" ref="AL43:AL48">IF($AL$38="","",(W22/SUM($W$21:$AF$27))*$AL$38)</f>
      </c>
      <c r="AM43" s="231">
        <f aca="true" t="shared" si="33" ref="AM43:AM48">IF($AL$38="","",(X22/SUM($W$21:$AF$27))*$AL$38)</f>
      </c>
      <c r="AN43" s="231">
        <f aca="true" t="shared" si="34" ref="AN43:AN48">IF($AL$38="","",(Y22/SUM($W$21:$AF$27))*$AL$38)</f>
      </c>
      <c r="AO43" s="231">
        <f aca="true" t="shared" si="35" ref="AO43:AO48">IF($AL$38="","",(Z22/SUM($W$21:$AF$27))*$AL$38)</f>
      </c>
      <c r="AP43" s="231">
        <f aca="true" t="shared" si="36" ref="AP43:AP48">IF($AL$38="","",(AA22/SUM($W$21:$AF$27))*$AL$38)</f>
      </c>
      <c r="AQ43" s="231">
        <f aca="true" t="shared" si="37" ref="AQ43:AQ48">IF($AL$38="","",(AB22/SUM($W$21:$AF$27))*$AL$38)</f>
      </c>
      <c r="AR43" s="231">
        <f aca="true" t="shared" si="38" ref="AR43:AR48">IF($AL$38="","",(AC22/SUM($W$21:$AF$27))*$AL$38)</f>
      </c>
      <c r="AS43" s="231">
        <f aca="true" t="shared" si="39" ref="AS43:AS48">IF($AL$38="","",(AD22/SUM($W$21:$AF$27))*$AL$38)</f>
      </c>
      <c r="AT43" s="231">
        <f aca="true" t="shared" si="40" ref="AT43:AT48">IF($AL$38="","",(AE22/SUM($W$21:$AF$27))*$AL$38)</f>
      </c>
      <c r="AU43" s="232">
        <f aca="true" t="shared" si="41" ref="AU43:AU48">IF($AL$38="","",(AF22/SUM($W$21:$AF$27))*$AL$38)</f>
      </c>
      <c r="AV43" s="145"/>
    </row>
    <row r="44" spans="1:48" ht="15.7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50"/>
      <c r="S44" s="145"/>
      <c r="T44" s="151"/>
      <c r="U44" s="191">
        <v>19</v>
      </c>
      <c r="V44" s="224" t="s">
        <v>31</v>
      </c>
      <c r="W44" s="194">
        <f>IF($X$37="","",(W17/SUM($W$14:$AF$20))*$X$37)</f>
      </c>
      <c r="X44" s="231">
        <f aca="true" t="shared" si="42" ref="X44:AF44">IF($X$37="","",(X17/SUM($W$14:$AF$20))*$X$37)</f>
      </c>
      <c r="Y44" s="231">
        <f t="shared" si="42"/>
      </c>
      <c r="Z44" s="231">
        <f t="shared" si="42"/>
      </c>
      <c r="AA44" s="231">
        <f t="shared" si="42"/>
      </c>
      <c r="AB44" s="231">
        <f t="shared" si="42"/>
      </c>
      <c r="AC44" s="231">
        <f t="shared" si="42"/>
      </c>
      <c r="AD44" s="231">
        <f t="shared" si="42"/>
      </c>
      <c r="AE44" s="231">
        <f t="shared" si="42"/>
      </c>
      <c r="AF44" s="232">
        <f t="shared" si="42"/>
      </c>
      <c r="AG44" s="189"/>
      <c r="AH44" s="190"/>
      <c r="AI44" s="145"/>
      <c r="AJ44" s="191">
        <v>0.6</v>
      </c>
      <c r="AK44" s="224" t="s">
        <v>37</v>
      </c>
      <c r="AL44" s="194">
        <f t="shared" si="32"/>
      </c>
      <c r="AM44" s="231">
        <f t="shared" si="33"/>
      </c>
      <c r="AN44" s="231">
        <f t="shared" si="34"/>
      </c>
      <c r="AO44" s="231">
        <f t="shared" si="35"/>
      </c>
      <c r="AP44" s="231">
        <f t="shared" si="36"/>
      </c>
      <c r="AQ44" s="231">
        <f t="shared" si="37"/>
      </c>
      <c r="AR44" s="231">
        <f t="shared" si="38"/>
      </c>
      <c r="AS44" s="231">
        <f t="shared" si="39"/>
      </c>
      <c r="AT44" s="231">
        <f t="shared" si="40"/>
      </c>
      <c r="AU44" s="232">
        <f t="shared" si="41"/>
      </c>
      <c r="AV44" s="145"/>
    </row>
    <row r="45" spans="1:48" ht="15.7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50"/>
      <c r="S45" s="145"/>
      <c r="T45" s="151"/>
      <c r="U45" s="191">
        <v>12.5</v>
      </c>
      <c r="V45" s="224" t="s">
        <v>32</v>
      </c>
      <c r="W45" s="194">
        <f>IF($X$37="","",(W18/SUM($W$14:$AF$20))*$X$37)</f>
      </c>
      <c r="X45" s="231">
        <f aca="true" t="shared" si="43" ref="X45:AF45">IF($X$37="","",(X18/SUM($W$14:$AF$20))*$X$37)</f>
      </c>
      <c r="Y45" s="231">
        <f t="shared" si="43"/>
      </c>
      <c r="Z45" s="231">
        <f t="shared" si="43"/>
      </c>
      <c r="AA45" s="231">
        <f t="shared" si="43"/>
      </c>
      <c r="AB45" s="231">
        <f t="shared" si="43"/>
      </c>
      <c r="AC45" s="231">
        <f t="shared" si="43"/>
      </c>
      <c r="AD45" s="231">
        <f t="shared" si="43"/>
      </c>
      <c r="AE45" s="231">
        <f t="shared" si="43"/>
      </c>
      <c r="AF45" s="232">
        <f t="shared" si="43"/>
      </c>
      <c r="AG45" s="189"/>
      <c r="AH45" s="190"/>
      <c r="AI45" s="145"/>
      <c r="AJ45" s="191">
        <v>0.3</v>
      </c>
      <c r="AK45" s="224" t="s">
        <v>38</v>
      </c>
      <c r="AL45" s="194">
        <f t="shared" si="32"/>
      </c>
      <c r="AM45" s="231">
        <f t="shared" si="33"/>
      </c>
      <c r="AN45" s="231">
        <f t="shared" si="34"/>
      </c>
      <c r="AO45" s="231">
        <f t="shared" si="35"/>
      </c>
      <c r="AP45" s="231">
        <f t="shared" si="36"/>
      </c>
      <c r="AQ45" s="231">
        <f t="shared" si="37"/>
      </c>
      <c r="AR45" s="231">
        <f t="shared" si="38"/>
      </c>
      <c r="AS45" s="231">
        <f t="shared" si="39"/>
      </c>
      <c r="AT45" s="231">
        <f t="shared" si="40"/>
      </c>
      <c r="AU45" s="232">
        <f t="shared" si="41"/>
      </c>
      <c r="AV45" s="145"/>
    </row>
    <row r="46" spans="1:48" ht="15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50"/>
      <c r="S46" s="145"/>
      <c r="T46" s="151"/>
      <c r="U46" s="191">
        <v>9.5</v>
      </c>
      <c r="V46" s="224" t="s">
        <v>33</v>
      </c>
      <c r="W46" s="194">
        <f aca="true" t="shared" si="44" ref="W46:AF46">IF($X$37="","",(W19/SUM($W$14:$AF$20))*$X$37)</f>
      </c>
      <c r="X46" s="231">
        <f t="shared" si="44"/>
      </c>
      <c r="Y46" s="231">
        <f t="shared" si="44"/>
      </c>
      <c r="Z46" s="231">
        <f t="shared" si="44"/>
      </c>
      <c r="AA46" s="231">
        <f t="shared" si="44"/>
      </c>
      <c r="AB46" s="231">
        <f t="shared" si="44"/>
      </c>
      <c r="AC46" s="231">
        <f t="shared" si="44"/>
      </c>
      <c r="AD46" s="231">
        <f t="shared" si="44"/>
      </c>
      <c r="AE46" s="231">
        <f t="shared" si="44"/>
      </c>
      <c r="AF46" s="232">
        <f t="shared" si="44"/>
      </c>
      <c r="AG46" s="189"/>
      <c r="AH46" s="190"/>
      <c r="AI46" s="145"/>
      <c r="AJ46" s="191">
        <v>0.15</v>
      </c>
      <c r="AK46" s="224" t="s">
        <v>39</v>
      </c>
      <c r="AL46" s="194">
        <f t="shared" si="32"/>
      </c>
      <c r="AM46" s="231">
        <f t="shared" si="33"/>
      </c>
      <c r="AN46" s="231">
        <f t="shared" si="34"/>
      </c>
      <c r="AO46" s="231">
        <f t="shared" si="35"/>
      </c>
      <c r="AP46" s="231">
        <f t="shared" si="36"/>
      </c>
      <c r="AQ46" s="231">
        <f t="shared" si="37"/>
      </c>
      <c r="AR46" s="231">
        <f t="shared" si="38"/>
      </c>
      <c r="AS46" s="231">
        <f t="shared" si="39"/>
      </c>
      <c r="AT46" s="231">
        <f t="shared" si="40"/>
      </c>
      <c r="AU46" s="232">
        <f t="shared" si="41"/>
      </c>
      <c r="AV46" s="145"/>
    </row>
    <row r="47" spans="1:48" ht="16.5" thickBo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50"/>
      <c r="S47" s="145"/>
      <c r="T47" s="151"/>
      <c r="U47" s="191">
        <v>4.75</v>
      </c>
      <c r="V47" s="224" t="s">
        <v>34</v>
      </c>
      <c r="W47" s="225">
        <f aca="true" t="shared" si="45" ref="W47:AF47">IF($X$37="","",(W20/SUM($W$14:$AF$20))*$X$37)</f>
      </c>
      <c r="X47" s="631">
        <f t="shared" si="45"/>
      </c>
      <c r="Y47" s="631">
        <f t="shared" si="45"/>
      </c>
      <c r="Z47" s="631">
        <f t="shared" si="45"/>
      </c>
      <c r="AA47" s="631">
        <f t="shared" si="45"/>
      </c>
      <c r="AB47" s="631">
        <f t="shared" si="45"/>
      </c>
      <c r="AC47" s="631">
        <f t="shared" si="45"/>
      </c>
      <c r="AD47" s="631">
        <f t="shared" si="45"/>
      </c>
      <c r="AE47" s="631">
        <f t="shared" si="45"/>
      </c>
      <c r="AF47" s="632">
        <f t="shared" si="45"/>
      </c>
      <c r="AG47" s="189"/>
      <c r="AH47" s="190"/>
      <c r="AI47" s="145"/>
      <c r="AJ47" s="199">
        <v>0.075</v>
      </c>
      <c r="AK47" s="628" t="s">
        <v>40</v>
      </c>
      <c r="AL47" s="194">
        <f t="shared" si="32"/>
      </c>
      <c r="AM47" s="231">
        <f t="shared" si="33"/>
      </c>
      <c r="AN47" s="231">
        <f t="shared" si="34"/>
      </c>
      <c r="AO47" s="231">
        <f t="shared" si="35"/>
      </c>
      <c r="AP47" s="231">
        <f t="shared" si="36"/>
      </c>
      <c r="AQ47" s="231">
        <f t="shared" si="37"/>
      </c>
      <c r="AR47" s="231">
        <f t="shared" si="38"/>
      </c>
      <c r="AS47" s="231">
        <f t="shared" si="39"/>
      </c>
      <c r="AT47" s="231">
        <f t="shared" si="40"/>
      </c>
      <c r="AU47" s="232">
        <f t="shared" si="41"/>
      </c>
      <c r="AV47" s="145"/>
    </row>
    <row r="48" spans="1:48" ht="18.75" customHeight="1" thickBo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50"/>
      <c r="S48" s="145"/>
      <c r="T48" s="151"/>
      <c r="U48" s="649" t="s">
        <v>47</v>
      </c>
      <c r="V48" s="650"/>
      <c r="W48" s="633">
        <f aca="true" t="shared" si="46" ref="W48:AF48">SUM(W41:W47)</f>
        <v>0</v>
      </c>
      <c r="X48" s="634">
        <f t="shared" si="46"/>
        <v>0</v>
      </c>
      <c r="Y48" s="634">
        <f t="shared" si="46"/>
        <v>0</v>
      </c>
      <c r="Z48" s="634">
        <f t="shared" si="46"/>
        <v>0</v>
      </c>
      <c r="AA48" s="634">
        <f t="shared" si="46"/>
        <v>0</v>
      </c>
      <c r="AB48" s="634">
        <f t="shared" si="46"/>
        <v>0</v>
      </c>
      <c r="AC48" s="634">
        <f t="shared" si="46"/>
        <v>0</v>
      </c>
      <c r="AD48" s="634">
        <f t="shared" si="46"/>
        <v>0</v>
      </c>
      <c r="AE48" s="634">
        <f t="shared" si="46"/>
        <v>0</v>
      </c>
      <c r="AF48" s="635">
        <f t="shared" si="46"/>
        <v>0</v>
      </c>
      <c r="AG48" s="259"/>
      <c r="AH48" s="260"/>
      <c r="AI48" s="145"/>
      <c r="AJ48" s="669" t="s">
        <v>46</v>
      </c>
      <c r="AK48" s="670"/>
      <c r="AL48" s="225">
        <f t="shared" si="32"/>
      </c>
      <c r="AM48" s="631">
        <f t="shared" si="33"/>
      </c>
      <c r="AN48" s="631">
        <f t="shared" si="34"/>
      </c>
      <c r="AO48" s="631">
        <f t="shared" si="35"/>
      </c>
      <c r="AP48" s="631">
        <f t="shared" si="36"/>
      </c>
      <c r="AQ48" s="631">
        <f t="shared" si="37"/>
      </c>
      <c r="AR48" s="631">
        <f t="shared" si="38"/>
      </c>
      <c r="AS48" s="631">
        <f t="shared" si="39"/>
      </c>
      <c r="AT48" s="631">
        <f t="shared" si="40"/>
      </c>
      <c r="AU48" s="632">
        <f t="shared" si="41"/>
      </c>
      <c r="AV48" s="209"/>
    </row>
    <row r="49" spans="1:48" ht="15.75" customHeight="1" thickBo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50"/>
      <c r="S49" s="145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0"/>
      <c r="AH49" s="151"/>
      <c r="AI49" s="145"/>
      <c r="AJ49" s="649" t="s">
        <v>47</v>
      </c>
      <c r="AK49" s="650"/>
      <c r="AL49" s="264">
        <f aca="true" t="shared" si="47" ref="AL49:AU49">SUM(AL42:AL48)</f>
        <v>0</v>
      </c>
      <c r="AM49" s="629">
        <f t="shared" si="47"/>
        <v>0</v>
      </c>
      <c r="AN49" s="629">
        <f t="shared" si="47"/>
        <v>0</v>
      </c>
      <c r="AO49" s="629">
        <f t="shared" si="47"/>
        <v>0</v>
      </c>
      <c r="AP49" s="629">
        <f t="shared" si="47"/>
        <v>0</v>
      </c>
      <c r="AQ49" s="629">
        <f t="shared" si="47"/>
        <v>0</v>
      </c>
      <c r="AR49" s="629">
        <f t="shared" si="47"/>
        <v>0</v>
      </c>
      <c r="AS49" s="629">
        <f t="shared" si="47"/>
        <v>0</v>
      </c>
      <c r="AT49" s="629">
        <f t="shared" si="47"/>
        <v>0</v>
      </c>
      <c r="AU49" s="630">
        <f t="shared" si="47"/>
        <v>0</v>
      </c>
      <c r="AV49" s="145"/>
    </row>
    <row r="50" spans="1:48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50"/>
      <c r="S50" s="145"/>
      <c r="T50" s="151"/>
      <c r="U50" s="646" t="s">
        <v>264</v>
      </c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74"/>
      <c r="AG50" s="150"/>
      <c r="AH50" s="151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</row>
    <row r="51" spans="1:48" ht="13.5" thickBo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50"/>
      <c r="S51" s="209"/>
      <c r="T51" s="151"/>
      <c r="U51" s="675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7"/>
      <c r="AG51" s="150"/>
      <c r="AH51" s="151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</row>
    <row r="52" spans="1:48" ht="18.75" thickBo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50"/>
      <c r="S52" s="145"/>
      <c r="T52" s="151"/>
      <c r="U52" s="163"/>
      <c r="V52" s="166"/>
      <c r="W52" s="164" t="s">
        <v>95</v>
      </c>
      <c r="X52" s="304"/>
      <c r="Y52" s="165" t="s">
        <v>43</v>
      </c>
      <c r="Z52" s="166"/>
      <c r="AA52" s="166"/>
      <c r="AB52" s="166"/>
      <c r="AC52" s="166"/>
      <c r="AD52" s="166"/>
      <c r="AE52" s="166"/>
      <c r="AF52" s="168"/>
      <c r="AG52" s="150"/>
      <c r="AH52" s="151"/>
      <c r="AI52" s="145"/>
      <c r="AJ52" s="695" t="s">
        <v>267</v>
      </c>
      <c r="AK52" s="696"/>
      <c r="AL52" s="696"/>
      <c r="AM52" s="696"/>
      <c r="AN52" s="696"/>
      <c r="AO52" s="696"/>
      <c r="AP52" s="696"/>
      <c r="AQ52" s="696"/>
      <c r="AR52" s="696"/>
      <c r="AS52" s="696"/>
      <c r="AT52" s="696"/>
      <c r="AU52" s="697"/>
      <c r="AV52" s="145"/>
    </row>
    <row r="53" spans="1:48" ht="16.5" thickBo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50"/>
      <c r="S53" s="145"/>
      <c r="T53" s="151"/>
      <c r="U53" s="644" t="s">
        <v>96</v>
      </c>
      <c r="V53" s="645"/>
      <c r="W53" s="173">
        <f>$E$22</f>
        <v>0.11</v>
      </c>
      <c r="X53" s="173">
        <f>$F$22</f>
        <v>0.14</v>
      </c>
      <c r="Y53" s="173">
        <f>$G$22</f>
        <v>0.66</v>
      </c>
      <c r="Z53" s="173">
        <f>$H$22</f>
        <v>0.09</v>
      </c>
      <c r="AA53" s="173">
        <f>$I$22</f>
        <v>0</v>
      </c>
      <c r="AB53" s="173">
        <f>$J$22</f>
        <v>0</v>
      </c>
      <c r="AC53" s="173">
        <f>$K$22</f>
        <v>0</v>
      </c>
      <c r="AD53" s="173">
        <f>$L$22</f>
        <v>0</v>
      </c>
      <c r="AE53" s="173">
        <f>$M$22</f>
        <v>0</v>
      </c>
      <c r="AF53" s="173">
        <f>$N$22</f>
        <v>0</v>
      </c>
      <c r="AG53" s="171"/>
      <c r="AH53" s="172"/>
      <c r="AI53" s="145"/>
      <c r="AJ53" s="163"/>
      <c r="AK53" s="164" t="s">
        <v>42</v>
      </c>
      <c r="AL53" s="304"/>
      <c r="AM53" s="165" t="s">
        <v>43</v>
      </c>
      <c r="AN53" s="166"/>
      <c r="AO53" s="166"/>
      <c r="AP53" s="166"/>
      <c r="AQ53" s="166"/>
      <c r="AR53" s="166"/>
      <c r="AS53" s="166"/>
      <c r="AT53" s="166"/>
      <c r="AU53" s="168"/>
      <c r="AV53" s="145"/>
    </row>
    <row r="54" spans="1:48" ht="16.5" thickBo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50"/>
      <c r="S54" s="145"/>
      <c r="T54" s="151"/>
      <c r="U54" s="669" t="s">
        <v>16</v>
      </c>
      <c r="V54" s="670"/>
      <c r="W54" s="177" t="s">
        <v>45</v>
      </c>
      <c r="X54" s="177" t="s">
        <v>45</v>
      </c>
      <c r="Y54" s="177" t="s">
        <v>45</v>
      </c>
      <c r="Z54" s="177" t="s">
        <v>45</v>
      </c>
      <c r="AA54" s="177" t="s">
        <v>45</v>
      </c>
      <c r="AB54" s="177" t="s">
        <v>45</v>
      </c>
      <c r="AC54" s="177" t="s">
        <v>45</v>
      </c>
      <c r="AD54" s="177" t="s">
        <v>45</v>
      </c>
      <c r="AE54" s="177" t="s">
        <v>45</v>
      </c>
      <c r="AF54" s="177" t="s">
        <v>45</v>
      </c>
      <c r="AG54" s="178"/>
      <c r="AH54" s="179"/>
      <c r="AI54" s="145"/>
      <c r="AJ54" s="644" t="s">
        <v>96</v>
      </c>
      <c r="AK54" s="645"/>
      <c r="AL54" s="173">
        <f>$E$22</f>
        <v>0.11</v>
      </c>
      <c r="AM54" s="173">
        <f>$F$22</f>
        <v>0.14</v>
      </c>
      <c r="AN54" s="173">
        <f>$G$22</f>
        <v>0.66</v>
      </c>
      <c r="AO54" s="173">
        <f>$H$22</f>
        <v>0.09</v>
      </c>
      <c r="AP54" s="173">
        <f>$I$22</f>
        <v>0</v>
      </c>
      <c r="AQ54" s="173">
        <f>$J$22</f>
        <v>0</v>
      </c>
      <c r="AR54" s="173">
        <f>$K$22</f>
        <v>0</v>
      </c>
      <c r="AS54" s="173">
        <f>$L$22</f>
        <v>0</v>
      </c>
      <c r="AT54" s="173">
        <f>$M$22</f>
        <v>0</v>
      </c>
      <c r="AU54" s="173">
        <f>$N$22</f>
        <v>0</v>
      </c>
      <c r="AV54" s="145"/>
    </row>
    <row r="55" spans="1:48" ht="16.5" thickBo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50"/>
      <c r="S55" s="145"/>
      <c r="T55" s="151"/>
      <c r="U55" s="254" t="s">
        <v>15</v>
      </c>
      <c r="V55" s="176" t="s">
        <v>17</v>
      </c>
      <c r="W55" s="263">
        <v>1</v>
      </c>
      <c r="X55" s="263">
        <v>2</v>
      </c>
      <c r="Y55" s="263">
        <v>3</v>
      </c>
      <c r="Z55" s="263">
        <v>4</v>
      </c>
      <c r="AA55" s="263">
        <v>5</v>
      </c>
      <c r="AB55" s="263">
        <v>6</v>
      </c>
      <c r="AC55" s="263">
        <v>7</v>
      </c>
      <c r="AD55" s="263">
        <v>8</v>
      </c>
      <c r="AE55" s="263">
        <v>9</v>
      </c>
      <c r="AF55" s="263">
        <v>10</v>
      </c>
      <c r="AG55" s="178"/>
      <c r="AH55" s="179"/>
      <c r="AI55" s="145"/>
      <c r="AJ55" s="669" t="s">
        <v>16</v>
      </c>
      <c r="AK55" s="671"/>
      <c r="AL55" s="177" t="s">
        <v>45</v>
      </c>
      <c r="AM55" s="177" t="s">
        <v>45</v>
      </c>
      <c r="AN55" s="177" t="s">
        <v>45</v>
      </c>
      <c r="AO55" s="177" t="s">
        <v>45</v>
      </c>
      <c r="AP55" s="177" t="s">
        <v>45</v>
      </c>
      <c r="AQ55" s="177" t="s">
        <v>45</v>
      </c>
      <c r="AR55" s="177" t="s">
        <v>45</v>
      </c>
      <c r="AS55" s="177" t="s">
        <v>45</v>
      </c>
      <c r="AT55" s="177" t="s">
        <v>45</v>
      </c>
      <c r="AU55" s="177" t="s">
        <v>45</v>
      </c>
      <c r="AV55" s="145"/>
    </row>
    <row r="56" spans="1:48" ht="16.5" thickBo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50"/>
      <c r="S56" s="145"/>
      <c r="T56" s="151"/>
      <c r="U56" s="222">
        <v>2.36</v>
      </c>
      <c r="V56" s="255" t="s">
        <v>35</v>
      </c>
      <c r="W56" s="186">
        <f>IF($X$52="","",(W21/SUM($W$21:$AF$27))*$X$52)</f>
      </c>
      <c r="X56" s="187">
        <f aca="true" t="shared" si="48" ref="X56:AF56">IF($X$52="","",(X21/SUM($W$21:$AF$27))*$X$52)</f>
      </c>
      <c r="Y56" s="187">
        <f t="shared" si="48"/>
      </c>
      <c r="Z56" s="187">
        <f t="shared" si="48"/>
      </c>
      <c r="AA56" s="187">
        <f t="shared" si="48"/>
      </c>
      <c r="AB56" s="187">
        <f t="shared" si="48"/>
      </c>
      <c r="AC56" s="187">
        <f t="shared" si="48"/>
      </c>
      <c r="AD56" s="187">
        <f t="shared" si="48"/>
      </c>
      <c r="AE56" s="187">
        <f t="shared" si="48"/>
      </c>
      <c r="AF56" s="188">
        <f t="shared" si="48"/>
      </c>
      <c r="AG56" s="189"/>
      <c r="AH56" s="190"/>
      <c r="AI56" s="145"/>
      <c r="AJ56" s="177" t="s">
        <v>15</v>
      </c>
      <c r="AK56" s="181" t="s">
        <v>17</v>
      </c>
      <c r="AL56" s="182">
        <v>1</v>
      </c>
      <c r="AM56" s="182">
        <v>2</v>
      </c>
      <c r="AN56" s="182">
        <v>3</v>
      </c>
      <c r="AO56" s="182">
        <v>4</v>
      </c>
      <c r="AP56" s="182">
        <v>5</v>
      </c>
      <c r="AQ56" s="182">
        <v>6</v>
      </c>
      <c r="AR56" s="182">
        <v>7</v>
      </c>
      <c r="AS56" s="182">
        <v>8</v>
      </c>
      <c r="AT56" s="182">
        <v>9</v>
      </c>
      <c r="AU56" s="182">
        <v>10</v>
      </c>
      <c r="AV56" s="145"/>
    </row>
    <row r="57" spans="1:48" ht="15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50"/>
      <c r="S57" s="145"/>
      <c r="T57" s="151"/>
      <c r="U57" s="191">
        <v>1.18</v>
      </c>
      <c r="V57" s="192" t="s">
        <v>36</v>
      </c>
      <c r="W57" s="256">
        <f>IF($X$52="","",(W22/SUM($W$21:$AF$27))*$X$52)</f>
      </c>
      <c r="X57" s="257">
        <f aca="true" t="shared" si="49" ref="X57:AF57">IF($X$52="","",(X22/SUM($W$21:$AF$27))*$X$52)</f>
      </c>
      <c r="Y57" s="257">
        <f t="shared" si="49"/>
      </c>
      <c r="Z57" s="257">
        <f t="shared" si="49"/>
      </c>
      <c r="AA57" s="257">
        <f t="shared" si="49"/>
      </c>
      <c r="AB57" s="257">
        <f t="shared" si="49"/>
      </c>
      <c r="AC57" s="257">
        <f t="shared" si="49"/>
      </c>
      <c r="AD57" s="257">
        <f t="shared" si="49"/>
      </c>
      <c r="AE57" s="257">
        <f t="shared" si="49"/>
      </c>
      <c r="AF57" s="258">
        <f t="shared" si="49"/>
      </c>
      <c r="AG57" s="189"/>
      <c r="AH57" s="190"/>
      <c r="AI57" s="145"/>
      <c r="AJ57" s="184">
        <v>50</v>
      </c>
      <c r="AK57" s="228" t="s">
        <v>28</v>
      </c>
      <c r="AL57" s="186">
        <f aca="true" t="shared" si="50" ref="AL57:AL63">IF($AL$53="","",(W14/SUM($W$14:$AF$20))*$AL$53)</f>
      </c>
      <c r="AM57" s="229">
        <f aca="true" t="shared" si="51" ref="AM57:AU57">IF($AL$53="","",(X14/SUM($W$14:$AF$20))*$AL$53)</f>
      </c>
      <c r="AN57" s="229">
        <f t="shared" si="51"/>
      </c>
      <c r="AO57" s="229">
        <f t="shared" si="51"/>
      </c>
      <c r="AP57" s="229">
        <f t="shared" si="51"/>
      </c>
      <c r="AQ57" s="229">
        <f t="shared" si="51"/>
      </c>
      <c r="AR57" s="229">
        <f t="shared" si="51"/>
      </c>
      <c r="AS57" s="229">
        <f t="shared" si="51"/>
      </c>
      <c r="AT57" s="229">
        <f t="shared" si="51"/>
      </c>
      <c r="AU57" s="230">
        <f t="shared" si="51"/>
      </c>
      <c r="AV57" s="145"/>
    </row>
    <row r="58" spans="1:48" ht="15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50"/>
      <c r="S58" s="145"/>
      <c r="T58" s="151"/>
      <c r="U58" s="191">
        <v>0.6</v>
      </c>
      <c r="V58" s="192" t="s">
        <v>37</v>
      </c>
      <c r="W58" s="256">
        <f>IF($X$52="","",(W23/SUM($W$21:$AF$27))*$X$52)</f>
      </c>
      <c r="X58" s="257">
        <f aca="true" t="shared" si="52" ref="X58:AF58">IF($X$52="","",(X23/SUM($W$21:$AF$27))*$X$52)</f>
      </c>
      <c r="Y58" s="257">
        <f t="shared" si="52"/>
      </c>
      <c r="Z58" s="257">
        <f t="shared" si="52"/>
      </c>
      <c r="AA58" s="257">
        <f t="shared" si="52"/>
      </c>
      <c r="AB58" s="257">
        <f t="shared" si="52"/>
      </c>
      <c r="AC58" s="257">
        <f t="shared" si="52"/>
      </c>
      <c r="AD58" s="257">
        <f t="shared" si="52"/>
      </c>
      <c r="AE58" s="257">
        <f t="shared" si="52"/>
      </c>
      <c r="AF58" s="258">
        <f t="shared" si="52"/>
      </c>
      <c r="AG58" s="189"/>
      <c r="AH58" s="190"/>
      <c r="AI58" s="145"/>
      <c r="AJ58" s="191">
        <v>37.5</v>
      </c>
      <c r="AK58" s="224" t="s">
        <v>29</v>
      </c>
      <c r="AL58" s="194">
        <f t="shared" si="50"/>
      </c>
      <c r="AM58" s="231">
        <f aca="true" t="shared" si="53" ref="AM58:AU63">IF($AL$53="","",(X15/SUM($W$14:$AF$20))*$AL$53)</f>
      </c>
      <c r="AN58" s="231">
        <f t="shared" si="53"/>
      </c>
      <c r="AO58" s="231">
        <f t="shared" si="53"/>
      </c>
      <c r="AP58" s="231">
        <f t="shared" si="53"/>
      </c>
      <c r="AQ58" s="231">
        <f t="shared" si="53"/>
      </c>
      <c r="AR58" s="231">
        <f t="shared" si="53"/>
      </c>
      <c r="AS58" s="231">
        <f t="shared" si="53"/>
      </c>
      <c r="AT58" s="231">
        <f t="shared" si="53"/>
      </c>
      <c r="AU58" s="232">
        <f t="shared" si="53"/>
      </c>
      <c r="AV58" s="145"/>
    </row>
    <row r="59" spans="1:48" ht="15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50"/>
      <c r="S59" s="145"/>
      <c r="T59" s="151"/>
      <c r="U59" s="191">
        <v>0.3</v>
      </c>
      <c r="V59" s="192" t="s">
        <v>38</v>
      </c>
      <c r="W59" s="256">
        <f>IF($X$52="","",(W24/SUM($W$21:$AF$27))*$X$52)</f>
      </c>
      <c r="X59" s="257">
        <f aca="true" t="shared" si="54" ref="X59:AF59">IF($X$52="","",(X24/SUM($W$21:$AF$27))*$X$52)</f>
      </c>
      <c r="Y59" s="257">
        <f t="shared" si="54"/>
      </c>
      <c r="Z59" s="257">
        <f t="shared" si="54"/>
      </c>
      <c r="AA59" s="257">
        <f t="shared" si="54"/>
      </c>
      <c r="AB59" s="257">
        <f t="shared" si="54"/>
      </c>
      <c r="AC59" s="257">
        <f t="shared" si="54"/>
      </c>
      <c r="AD59" s="257">
        <f t="shared" si="54"/>
      </c>
      <c r="AE59" s="257">
        <f t="shared" si="54"/>
      </c>
      <c r="AF59" s="258">
        <f t="shared" si="54"/>
      </c>
      <c r="AG59" s="189"/>
      <c r="AH59" s="190"/>
      <c r="AI59" s="145"/>
      <c r="AJ59" s="191">
        <v>25</v>
      </c>
      <c r="AK59" s="224" t="s">
        <v>30</v>
      </c>
      <c r="AL59" s="194">
        <f t="shared" si="50"/>
      </c>
      <c r="AM59" s="231">
        <f t="shared" si="53"/>
      </c>
      <c r="AN59" s="231">
        <f t="shared" si="53"/>
      </c>
      <c r="AO59" s="231">
        <f t="shared" si="53"/>
      </c>
      <c r="AP59" s="231">
        <f t="shared" si="53"/>
      </c>
      <c r="AQ59" s="231">
        <f t="shared" si="53"/>
      </c>
      <c r="AR59" s="231">
        <f t="shared" si="53"/>
      </c>
      <c r="AS59" s="231">
        <f t="shared" si="53"/>
      </c>
      <c r="AT59" s="231">
        <f t="shared" si="53"/>
      </c>
      <c r="AU59" s="232">
        <f t="shared" si="53"/>
      </c>
      <c r="AV59" s="145"/>
    </row>
    <row r="60" spans="1:48" ht="15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50"/>
      <c r="S60" s="145"/>
      <c r="T60" s="151"/>
      <c r="U60" s="191">
        <v>0.15</v>
      </c>
      <c r="V60" s="192" t="s">
        <v>39</v>
      </c>
      <c r="W60" s="256">
        <f>IF($X$52="","",(W25/SUM($W$21:$AF$27))*$X$52)</f>
      </c>
      <c r="X60" s="257">
        <f aca="true" t="shared" si="55" ref="X60:AF60">IF($X$52="","",(X25/SUM($W$21:$AF$27))*$X$52)</f>
      </c>
      <c r="Y60" s="257">
        <f t="shared" si="55"/>
      </c>
      <c r="Z60" s="257">
        <f t="shared" si="55"/>
      </c>
      <c r="AA60" s="257">
        <f t="shared" si="55"/>
      </c>
      <c r="AB60" s="257">
        <f t="shared" si="55"/>
      </c>
      <c r="AC60" s="257">
        <f t="shared" si="55"/>
      </c>
      <c r="AD60" s="257">
        <f t="shared" si="55"/>
      </c>
      <c r="AE60" s="257">
        <f t="shared" si="55"/>
      </c>
      <c r="AF60" s="258">
        <f t="shared" si="55"/>
      </c>
      <c r="AG60" s="189"/>
      <c r="AH60" s="190"/>
      <c r="AI60" s="145"/>
      <c r="AJ60" s="191">
        <v>19</v>
      </c>
      <c r="AK60" s="224" t="s">
        <v>31</v>
      </c>
      <c r="AL60" s="194">
        <f t="shared" si="50"/>
      </c>
      <c r="AM60" s="231">
        <f t="shared" si="53"/>
      </c>
      <c r="AN60" s="231">
        <f t="shared" si="53"/>
      </c>
      <c r="AO60" s="231">
        <f t="shared" si="53"/>
      </c>
      <c r="AP60" s="231">
        <f t="shared" si="53"/>
      </c>
      <c r="AQ60" s="231">
        <f t="shared" si="53"/>
      </c>
      <c r="AR60" s="231">
        <f t="shared" si="53"/>
      </c>
      <c r="AS60" s="231">
        <f t="shared" si="53"/>
      </c>
      <c r="AT60" s="231">
        <f t="shared" si="53"/>
      </c>
      <c r="AU60" s="232">
        <f t="shared" si="53"/>
      </c>
      <c r="AV60" s="145"/>
    </row>
    <row r="61" spans="1:48" ht="16.5" thickBo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50"/>
      <c r="S61" s="145"/>
      <c r="T61" s="151"/>
      <c r="U61" s="199">
        <v>0.075</v>
      </c>
      <c r="V61" s="200" t="s">
        <v>40</v>
      </c>
      <c r="W61" s="256">
        <f aca="true" t="shared" si="56" ref="W61:AF61">IF($X$52="","",(W26/SUM($W$21:$AF$27))*$X$52)</f>
      </c>
      <c r="X61" s="257">
        <f t="shared" si="56"/>
      </c>
      <c r="Y61" s="257">
        <f t="shared" si="56"/>
      </c>
      <c r="Z61" s="257">
        <f t="shared" si="56"/>
      </c>
      <c r="AA61" s="257">
        <f t="shared" si="56"/>
      </c>
      <c r="AB61" s="257">
        <f t="shared" si="56"/>
      </c>
      <c r="AC61" s="257">
        <f t="shared" si="56"/>
      </c>
      <c r="AD61" s="257">
        <f t="shared" si="56"/>
      </c>
      <c r="AE61" s="257">
        <f t="shared" si="56"/>
      </c>
      <c r="AF61" s="258">
        <f t="shared" si="56"/>
      </c>
      <c r="AG61" s="189"/>
      <c r="AH61" s="190"/>
      <c r="AI61" s="145"/>
      <c r="AJ61" s="191">
        <v>12.5</v>
      </c>
      <c r="AK61" s="224" t="s">
        <v>32</v>
      </c>
      <c r="AL61" s="194">
        <f t="shared" si="50"/>
      </c>
      <c r="AM61" s="231">
        <f t="shared" si="53"/>
      </c>
      <c r="AN61" s="231">
        <f t="shared" si="53"/>
      </c>
      <c r="AO61" s="231">
        <f t="shared" si="53"/>
      </c>
      <c r="AP61" s="231">
        <f t="shared" si="53"/>
      </c>
      <c r="AQ61" s="231">
        <f t="shared" si="53"/>
      </c>
      <c r="AR61" s="231">
        <f t="shared" si="53"/>
      </c>
      <c r="AS61" s="231">
        <f t="shared" si="53"/>
      </c>
      <c r="AT61" s="231">
        <f t="shared" si="53"/>
      </c>
      <c r="AU61" s="232">
        <f t="shared" si="53"/>
      </c>
      <c r="AV61" s="145"/>
    </row>
    <row r="62" spans="1:48" ht="16.5" thickBo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50"/>
      <c r="S62" s="145"/>
      <c r="T62" s="151"/>
      <c r="U62" s="669" t="s">
        <v>46</v>
      </c>
      <c r="V62" s="671"/>
      <c r="W62" s="261">
        <f aca="true" t="shared" si="57" ref="W62:AF62">IF($X$52="","",(W27/SUM($W$21:$AF$27))*$X$52)</f>
      </c>
      <c r="X62" s="189">
        <f t="shared" si="57"/>
      </c>
      <c r="Y62" s="189">
        <f t="shared" si="57"/>
      </c>
      <c r="Z62" s="189">
        <f t="shared" si="57"/>
      </c>
      <c r="AA62" s="189">
        <f t="shared" si="57"/>
      </c>
      <c r="AB62" s="189">
        <f t="shared" si="57"/>
      </c>
      <c r="AC62" s="189">
        <f t="shared" si="57"/>
      </c>
      <c r="AD62" s="189">
        <f t="shared" si="57"/>
      </c>
      <c r="AE62" s="189">
        <f t="shared" si="57"/>
      </c>
      <c r="AF62" s="262">
        <f t="shared" si="57"/>
      </c>
      <c r="AG62" s="189"/>
      <c r="AH62" s="190"/>
      <c r="AI62" s="145"/>
      <c r="AJ62" s="191">
        <v>9.5</v>
      </c>
      <c r="AK62" s="224" t="s">
        <v>33</v>
      </c>
      <c r="AL62" s="194">
        <f t="shared" si="50"/>
      </c>
      <c r="AM62" s="231">
        <f t="shared" si="53"/>
      </c>
      <c r="AN62" s="231">
        <f t="shared" si="53"/>
      </c>
      <c r="AO62" s="231">
        <f t="shared" si="53"/>
      </c>
      <c r="AP62" s="231">
        <f t="shared" si="53"/>
      </c>
      <c r="AQ62" s="231">
        <f t="shared" si="53"/>
      </c>
      <c r="AR62" s="231">
        <f t="shared" si="53"/>
      </c>
      <c r="AS62" s="231">
        <f t="shared" si="53"/>
      </c>
      <c r="AT62" s="231">
        <f t="shared" si="53"/>
      </c>
      <c r="AU62" s="232">
        <f t="shared" si="53"/>
      </c>
      <c r="AV62" s="145"/>
    </row>
    <row r="63" spans="1:48" ht="16.5" thickBo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50"/>
      <c r="S63" s="145"/>
      <c r="T63" s="151"/>
      <c r="U63" s="649" t="s">
        <v>47</v>
      </c>
      <c r="V63" s="650"/>
      <c r="W63" s="210">
        <f>SUM(W56:W62)</f>
        <v>0</v>
      </c>
      <c r="X63" s="211">
        <f aca="true" t="shared" si="58" ref="X63:AF63">SUM(X56:X62)</f>
        <v>0</v>
      </c>
      <c r="Y63" s="211">
        <f t="shared" si="58"/>
        <v>0</v>
      </c>
      <c r="Z63" s="211">
        <f t="shared" si="58"/>
        <v>0</v>
      </c>
      <c r="AA63" s="211">
        <f t="shared" si="58"/>
        <v>0</v>
      </c>
      <c r="AB63" s="211">
        <f t="shared" si="58"/>
        <v>0</v>
      </c>
      <c r="AC63" s="211">
        <f t="shared" si="58"/>
        <v>0</v>
      </c>
      <c r="AD63" s="211">
        <f t="shared" si="58"/>
        <v>0</v>
      </c>
      <c r="AE63" s="211">
        <f t="shared" si="58"/>
        <v>0</v>
      </c>
      <c r="AF63" s="212">
        <f t="shared" si="58"/>
        <v>0</v>
      </c>
      <c r="AG63" s="189"/>
      <c r="AH63" s="190"/>
      <c r="AI63" s="145"/>
      <c r="AJ63" s="191">
        <v>4.75</v>
      </c>
      <c r="AK63" s="224" t="s">
        <v>34</v>
      </c>
      <c r="AL63" s="208">
        <f t="shared" si="50"/>
      </c>
      <c r="AM63" s="247">
        <f t="shared" si="53"/>
      </c>
      <c r="AN63" s="247">
        <f t="shared" si="53"/>
      </c>
      <c r="AO63" s="247">
        <f t="shared" si="53"/>
      </c>
      <c r="AP63" s="247">
        <f t="shared" si="53"/>
      </c>
      <c r="AQ63" s="247">
        <f t="shared" si="53"/>
      </c>
      <c r="AR63" s="247">
        <f t="shared" si="53"/>
      </c>
      <c r="AS63" s="247">
        <f t="shared" si="53"/>
      </c>
      <c r="AT63" s="247">
        <f t="shared" si="53"/>
      </c>
      <c r="AU63" s="248">
        <f t="shared" si="53"/>
      </c>
      <c r="AV63" s="209"/>
    </row>
    <row r="64" spans="1:48" ht="16.5" thickBo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50"/>
      <c r="S64" s="145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0"/>
      <c r="AH64" s="151"/>
      <c r="AI64" s="145"/>
      <c r="AJ64" s="669" t="s">
        <v>47</v>
      </c>
      <c r="AK64" s="670"/>
      <c r="AL64" s="210">
        <f aca="true" t="shared" si="59" ref="AL64:AU64">SUM(AL58:AL63)</f>
        <v>0</v>
      </c>
      <c r="AM64" s="211">
        <f t="shared" si="59"/>
        <v>0</v>
      </c>
      <c r="AN64" s="211">
        <f t="shared" si="59"/>
        <v>0</v>
      </c>
      <c r="AO64" s="211">
        <f t="shared" si="59"/>
        <v>0</v>
      </c>
      <c r="AP64" s="211">
        <f t="shared" si="59"/>
        <v>0</v>
      </c>
      <c r="AQ64" s="211">
        <f t="shared" si="59"/>
        <v>0</v>
      </c>
      <c r="AR64" s="211">
        <f t="shared" si="59"/>
        <v>0</v>
      </c>
      <c r="AS64" s="211">
        <f t="shared" si="59"/>
        <v>0</v>
      </c>
      <c r="AT64" s="211">
        <f t="shared" si="59"/>
        <v>0</v>
      </c>
      <c r="AU64" s="212">
        <f t="shared" si="59"/>
        <v>0</v>
      </c>
      <c r="AV64" s="145"/>
    </row>
    <row r="65" spans="1:48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50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50"/>
      <c r="AH65" s="151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</row>
    <row r="66" spans="1:48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50"/>
      <c r="S66" s="145"/>
      <c r="T66" s="145"/>
      <c r="U66" s="265" t="s">
        <v>52</v>
      </c>
      <c r="V66" s="245"/>
      <c r="W66" s="245"/>
      <c r="X66" s="245"/>
      <c r="Y66" s="245"/>
      <c r="Z66" s="245"/>
      <c r="AA66" s="245"/>
      <c r="AB66" s="245"/>
      <c r="AC66" s="245"/>
      <c r="AD66" s="235"/>
      <c r="AE66" s="145"/>
      <c r="AF66" s="145"/>
      <c r="AG66" s="150"/>
      <c r="AH66" s="151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</row>
    <row r="67" spans="1:48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50"/>
      <c r="S67" s="145"/>
      <c r="T67" s="145"/>
      <c r="U67" s="245"/>
      <c r="V67" s="245" t="s">
        <v>53</v>
      </c>
      <c r="W67" s="245"/>
      <c r="X67" s="245"/>
      <c r="Y67" s="245"/>
      <c r="Z67" s="245"/>
      <c r="AA67" s="245"/>
      <c r="AB67" s="245"/>
      <c r="AC67" s="245"/>
      <c r="AD67" s="145"/>
      <c r="AE67" s="145"/>
      <c r="AF67" s="145"/>
      <c r="AG67" s="150"/>
      <c r="AH67" s="151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</row>
    <row r="68" spans="1:48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50"/>
      <c r="S68" s="145"/>
      <c r="T68" s="145"/>
      <c r="U68" s="245"/>
      <c r="V68" s="245" t="s">
        <v>54</v>
      </c>
      <c r="W68" s="245"/>
      <c r="X68" s="245"/>
      <c r="Y68" s="245"/>
      <c r="Z68" s="245"/>
      <c r="AA68" s="245"/>
      <c r="AB68" s="245"/>
      <c r="AC68" s="245"/>
      <c r="AD68" s="145"/>
      <c r="AE68" s="145"/>
      <c r="AF68" s="145"/>
      <c r="AG68" s="150"/>
      <c r="AH68" s="151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</row>
    <row r="69" spans="1:48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50"/>
      <c r="S69" s="145"/>
      <c r="T69" s="145"/>
      <c r="U69" s="245"/>
      <c r="V69" s="245" t="s">
        <v>55</v>
      </c>
      <c r="W69" s="245"/>
      <c r="X69" s="245"/>
      <c r="Y69" s="245"/>
      <c r="Z69" s="245"/>
      <c r="AA69" s="245"/>
      <c r="AB69" s="245"/>
      <c r="AC69" s="245"/>
      <c r="AD69" s="145"/>
      <c r="AE69" s="145"/>
      <c r="AF69" s="145"/>
      <c r="AG69" s="150"/>
      <c r="AH69" s="151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</row>
    <row r="70" spans="1:48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50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50"/>
      <c r="AH70" s="151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</row>
    <row r="71" spans="1:48" ht="13.5" thickBo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50"/>
      <c r="S71" s="145"/>
      <c r="T71" s="145"/>
      <c r="U71" s="265" t="s">
        <v>56</v>
      </c>
      <c r="V71" s="245"/>
      <c r="W71" s="245"/>
      <c r="X71" s="245"/>
      <c r="Y71" s="245"/>
      <c r="Z71" s="245"/>
      <c r="AA71" s="245"/>
      <c r="AB71" s="145"/>
      <c r="AC71" s="145"/>
      <c r="AD71" s="145"/>
      <c r="AE71" s="145"/>
      <c r="AF71" s="145"/>
      <c r="AG71" s="150"/>
      <c r="AH71" s="151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</row>
    <row r="72" spans="1:48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50"/>
      <c r="S72" s="145"/>
      <c r="T72" s="145"/>
      <c r="U72" s="245"/>
      <c r="V72" s="145"/>
      <c r="W72" s="245"/>
      <c r="X72" s="145"/>
      <c r="Y72" s="235" t="s">
        <v>57</v>
      </c>
      <c r="Z72" s="309"/>
      <c r="AA72" s="245" t="s">
        <v>15</v>
      </c>
      <c r="AB72" s="145"/>
      <c r="AC72" s="145"/>
      <c r="AD72" s="145"/>
      <c r="AE72" s="145"/>
      <c r="AF72" s="145"/>
      <c r="AG72" s="150"/>
      <c r="AH72" s="151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</row>
    <row r="73" spans="1:48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50"/>
      <c r="S73" s="145"/>
      <c r="T73" s="145"/>
      <c r="U73" s="245"/>
      <c r="V73" s="145"/>
      <c r="W73" s="245"/>
      <c r="X73" s="145"/>
      <c r="Y73" s="235" t="s">
        <v>58</v>
      </c>
      <c r="Z73" s="310"/>
      <c r="AA73" s="245" t="s">
        <v>15</v>
      </c>
      <c r="AB73" s="145"/>
      <c r="AC73" s="145"/>
      <c r="AD73" s="145"/>
      <c r="AE73" s="145"/>
      <c r="AF73" s="145"/>
      <c r="AG73" s="150"/>
      <c r="AH73" s="151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</row>
    <row r="74" spans="1:48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50"/>
      <c r="S74" s="145"/>
      <c r="T74" s="145"/>
      <c r="U74" s="245"/>
      <c r="V74" s="145"/>
      <c r="W74" s="245"/>
      <c r="X74" s="145"/>
      <c r="Y74" s="235" t="s">
        <v>59</v>
      </c>
      <c r="Z74" s="310"/>
      <c r="AA74" s="245" t="s">
        <v>60</v>
      </c>
      <c r="AB74" s="145"/>
      <c r="AC74" s="145"/>
      <c r="AD74" s="145"/>
      <c r="AE74" s="235"/>
      <c r="AF74" s="235"/>
      <c r="AG74" s="236"/>
      <c r="AH74" s="23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</row>
    <row r="75" spans="1:48" ht="13.5" thickBo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50"/>
      <c r="S75" s="145"/>
      <c r="T75" s="145"/>
      <c r="U75" s="245"/>
      <c r="V75" s="145"/>
      <c r="W75" s="245"/>
      <c r="X75" s="145"/>
      <c r="Y75" s="235" t="s">
        <v>61</v>
      </c>
      <c r="Z75" s="266" t="e">
        <f>(Z74/Z73)*Z72</f>
        <v>#DIV/0!</v>
      </c>
      <c r="AA75" s="245" t="s">
        <v>60</v>
      </c>
      <c r="AB75" s="145"/>
      <c r="AC75" s="145"/>
      <c r="AD75" s="145"/>
      <c r="AE75" s="145"/>
      <c r="AF75" s="145"/>
      <c r="AG75" s="150"/>
      <c r="AH75" s="151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</row>
    <row r="76" spans="1:48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50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50"/>
      <c r="AH76" s="151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</row>
    <row r="77" spans="1:48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50"/>
      <c r="AH77" s="151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</row>
    <row r="78" spans="1:48" ht="12.7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50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</row>
    <row r="79" spans="1:48" ht="12.7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50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</row>
    <row r="80" spans="1:48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50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</row>
    <row r="81" spans="1:48" ht="12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50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</row>
    <row r="82" spans="1:48" ht="12.7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50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</row>
    <row r="83" spans="1:48" ht="12.7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50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</row>
    <row r="84" spans="1:48" ht="12.7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50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</row>
    <row r="85" spans="1:48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50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</row>
    <row r="86" spans="1:48" ht="12.7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50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</row>
    <row r="87" spans="1:48" ht="12.7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50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</row>
    <row r="88" spans="1:48" ht="12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50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</row>
    <row r="89" spans="1:48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50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</row>
    <row r="90" spans="1:48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50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</row>
    <row r="91" spans="1:48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50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</row>
    <row r="92" spans="1:48" ht="12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50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</row>
    <row r="93" spans="1:48" ht="12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50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</row>
    <row r="94" spans="1:48" ht="12.75">
      <c r="A94" s="145"/>
      <c r="B94" s="145"/>
      <c r="C94" s="145"/>
      <c r="D94" s="267"/>
      <c r="E94" s="267"/>
      <c r="F94" s="267"/>
      <c r="G94" s="268"/>
      <c r="H94" s="268"/>
      <c r="I94" s="145"/>
      <c r="J94" s="145"/>
      <c r="K94" s="269"/>
      <c r="L94" s="269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50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</row>
    <row r="95" spans="1:48" ht="12.75">
      <c r="A95" s="145"/>
      <c r="B95" s="145"/>
      <c r="C95" s="145"/>
      <c r="D95" s="270" t="s">
        <v>62</v>
      </c>
      <c r="E95" s="270" t="s">
        <v>15</v>
      </c>
      <c r="F95" s="270" t="s">
        <v>63</v>
      </c>
      <c r="G95" s="270">
        <v>0.45</v>
      </c>
      <c r="H95" s="270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50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</row>
    <row r="96" spans="1:48" ht="12.75">
      <c r="A96" s="145"/>
      <c r="B96" s="145"/>
      <c r="C96" s="145"/>
      <c r="D96" s="271"/>
      <c r="E96" s="271"/>
      <c r="F96" s="272"/>
      <c r="G96" s="272"/>
      <c r="H96" s="272"/>
      <c r="I96" s="145"/>
      <c r="J96" s="145"/>
      <c r="K96" s="273"/>
      <c r="L96" s="145"/>
      <c r="M96" s="668" t="s">
        <v>64</v>
      </c>
      <c r="N96" s="668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50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</row>
    <row r="97" spans="1:48" ht="12.75">
      <c r="A97" s="145"/>
      <c r="B97" s="145"/>
      <c r="C97" s="145"/>
      <c r="D97" s="271"/>
      <c r="E97" s="271"/>
      <c r="F97" s="272"/>
      <c r="G97" s="272"/>
      <c r="H97" s="272"/>
      <c r="I97" s="666" t="s">
        <v>65</v>
      </c>
      <c r="J97" s="667"/>
      <c r="K97" s="274"/>
      <c r="L97" s="145"/>
      <c r="M97" s="275" t="s">
        <v>66</v>
      </c>
      <c r="N97" s="275" t="s">
        <v>67</v>
      </c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50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</row>
    <row r="98" spans="1:48" ht="12.75">
      <c r="A98" s="145"/>
      <c r="B98" s="145"/>
      <c r="C98" s="145"/>
      <c r="D98" s="271"/>
      <c r="E98" s="271"/>
      <c r="F98" s="272"/>
      <c r="G98" s="272"/>
      <c r="H98" s="272"/>
      <c r="I98" s="274" t="s">
        <v>68</v>
      </c>
      <c r="J98" s="274" t="s">
        <v>69</v>
      </c>
      <c r="K98" s="274"/>
      <c r="L98" s="145"/>
      <c r="M98" s="276">
        <f>IF($I$19=37.5,130,IF($I$19=25,114,IF($I$19=19,95,IF($I$19=12.5,84,IF($I$19=9.5,70,"")))))</f>
        <v>84</v>
      </c>
      <c r="N98" s="275">
        <v>100</v>
      </c>
      <c r="O98" s="145"/>
      <c r="P98" s="145"/>
      <c r="Q98" s="145"/>
      <c r="R98" s="277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50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</row>
    <row r="99" spans="1:48" ht="12.75">
      <c r="A99" s="145"/>
      <c r="B99" s="145"/>
      <c r="C99" s="145"/>
      <c r="D99" s="271">
        <v>2</v>
      </c>
      <c r="E99" s="271">
        <v>50</v>
      </c>
      <c r="F99" s="272">
        <v>50000</v>
      </c>
      <c r="G99" s="272">
        <f aca="true" t="shared" si="60" ref="G99:G111">F99^0.45</f>
        <v>130.17767238163066</v>
      </c>
      <c r="H99" s="278">
        <v>0</v>
      </c>
      <c r="I99" s="276">
        <f>IF(I19=37.5,100,"")</f>
      </c>
      <c r="J99" s="276"/>
      <c r="K99" s="274"/>
      <c r="L99" s="145"/>
      <c r="M99" s="275">
        <v>0</v>
      </c>
      <c r="N99" s="275">
        <v>0</v>
      </c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50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</row>
    <row r="100" spans="1:48" ht="12.75">
      <c r="A100" s="145"/>
      <c r="B100" s="145"/>
      <c r="C100" s="145"/>
      <c r="D100" s="271">
        <v>1.5</v>
      </c>
      <c r="E100" s="271">
        <v>37.5</v>
      </c>
      <c r="F100" s="272">
        <v>37500</v>
      </c>
      <c r="G100" s="272">
        <f t="shared" si="60"/>
        <v>114.37051336098466</v>
      </c>
      <c r="H100" s="278">
        <v>0</v>
      </c>
      <c r="I100" s="276">
        <f>IF($I$19=37.5,90,IF($I$19=25,100,""))</f>
      </c>
      <c r="J100" s="276">
        <f>IF($I$19=37.5,100,"")</f>
      </c>
      <c r="K100" s="274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50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</row>
    <row r="101" spans="1:48" ht="12.75">
      <c r="A101" s="145"/>
      <c r="B101" s="145"/>
      <c r="C101" s="145"/>
      <c r="D101" s="271">
        <v>1</v>
      </c>
      <c r="E101" s="271">
        <v>25</v>
      </c>
      <c r="F101" s="272">
        <v>25000</v>
      </c>
      <c r="G101" s="272">
        <f t="shared" si="60"/>
        <v>95.29563403272063</v>
      </c>
      <c r="H101" s="278">
        <v>0</v>
      </c>
      <c r="I101" s="276">
        <f>IF($I$19=25,90,IF($I$19=19,100,""))</f>
      </c>
      <c r="J101" s="276">
        <f>IF($I$19=37.5,90,IF($I$19=25,100,""))</f>
      </c>
      <c r="K101" s="274"/>
      <c r="L101" s="145"/>
      <c r="M101" s="145" t="s">
        <v>70</v>
      </c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50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</row>
    <row r="102" spans="1:48" ht="12.75">
      <c r="A102" s="145"/>
      <c r="B102" s="145"/>
      <c r="C102" s="145"/>
      <c r="D102" s="279" t="s">
        <v>71</v>
      </c>
      <c r="E102" s="280">
        <v>19</v>
      </c>
      <c r="F102" s="272">
        <v>19000</v>
      </c>
      <c r="G102" s="272">
        <f t="shared" si="60"/>
        <v>84.22463167428849</v>
      </c>
      <c r="H102" s="278">
        <v>0</v>
      </c>
      <c r="I102" s="276">
        <f>IF($I$19=19,90,IF($I$19=12.5,100,""))</f>
        <v>100</v>
      </c>
      <c r="J102" s="276">
        <f>IF($I$19=25,90,IF($I$19=19,100,""))</f>
      </c>
      <c r="K102" s="274"/>
      <c r="L102" s="215" t="s">
        <v>62</v>
      </c>
      <c r="M102" s="215" t="s">
        <v>68</v>
      </c>
      <c r="N102" s="215" t="s">
        <v>69</v>
      </c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50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</row>
    <row r="103" spans="1:48" ht="12.75">
      <c r="A103" s="145"/>
      <c r="B103" s="145"/>
      <c r="C103" s="145"/>
      <c r="D103" s="271" t="s">
        <v>72</v>
      </c>
      <c r="E103" s="280">
        <v>12.5</v>
      </c>
      <c r="F103" s="272">
        <v>12500</v>
      </c>
      <c r="G103" s="272">
        <f t="shared" si="60"/>
        <v>69.76048733668773</v>
      </c>
      <c r="H103" s="278">
        <v>0</v>
      </c>
      <c r="I103" s="276">
        <f>IF($I$19=12.5,90,IF($I$19=9.5,100,""))</f>
        <v>90</v>
      </c>
      <c r="J103" s="276">
        <f>IF($I$19=19,90,IF($I$19=12.5,100,""))</f>
        <v>100</v>
      </c>
      <c r="K103" s="274"/>
      <c r="L103" s="215">
        <v>4.75</v>
      </c>
      <c r="M103" s="281">
        <f>IF($I$19=37.5,34.7,IF($I$19=25,39.5,IF($I$19=19,47.5,IF($I$19=12.5,53.6,IF($I$19=9.5,64.5,"")))))</f>
        <v>53.6</v>
      </c>
      <c r="N103" s="281">
        <f>IF($I$19=37.5,34.7,IF($I$19=25,39.5,IF($I$19=19,47.5,IF($I$19=12.5,53.6,IF($I$19=9.5,64.5,"")))))</f>
        <v>53.6</v>
      </c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50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</row>
    <row r="104" spans="1:48" ht="12.75">
      <c r="A104" s="145"/>
      <c r="B104" s="145"/>
      <c r="C104" s="145"/>
      <c r="D104" s="271" t="s">
        <v>73</v>
      </c>
      <c r="E104" s="280">
        <v>9.5</v>
      </c>
      <c r="F104" s="272">
        <v>9500</v>
      </c>
      <c r="G104" s="272">
        <f t="shared" si="60"/>
        <v>61.65603924030734</v>
      </c>
      <c r="H104" s="278">
        <v>0</v>
      </c>
      <c r="I104" s="276">
        <f>IF($I$19=9.5,90,"")</f>
      </c>
      <c r="J104" s="276">
        <f>IF($I$19=12.5,90,IF($I$19=9.5,100,""))</f>
        <v>90</v>
      </c>
      <c r="K104" s="274"/>
      <c r="L104" s="282">
        <v>2.36</v>
      </c>
      <c r="M104" s="281">
        <f>IF($I$19=37.5,23.3,IF($I$19=25,26.8,IF($I$19=19,34.6,IF($I$19=12.5,39.1,IF($I$19=9.5,47.2,"")))))</f>
        <v>39.1</v>
      </c>
      <c r="N104" s="281">
        <f>IF($I$19=37.5,27.3,IF($I$19=25,30.8,IF($I$19=19,34.6,IF($I$19=12.5,39.1,IF($I$19=9.5,47.2,"")))))</f>
        <v>39.1</v>
      </c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50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</row>
    <row r="105" spans="1:48" ht="12.75">
      <c r="A105" s="145"/>
      <c r="B105" s="145"/>
      <c r="C105" s="145"/>
      <c r="D105" s="271">
        <v>4</v>
      </c>
      <c r="E105" s="280">
        <v>4.75</v>
      </c>
      <c r="F105" s="272">
        <v>4750</v>
      </c>
      <c r="G105" s="272">
        <f t="shared" si="60"/>
        <v>45.13486256019806</v>
      </c>
      <c r="H105" s="278">
        <v>0</v>
      </c>
      <c r="I105" s="283"/>
      <c r="J105" s="276">
        <f>IF($I$19=9.5,90,"")</f>
      </c>
      <c r="K105" s="274"/>
      <c r="L105" s="282">
        <v>1.18</v>
      </c>
      <c r="M105" s="281">
        <f>IF($I$19=37.5,15.5,IF($I$19=25,18.1,IF($I$19=19,22.3,IF($I$19=12.5,25.6,IF($I$19=9.5,31.6,"")))))</f>
        <v>25.6</v>
      </c>
      <c r="N105" s="281">
        <f>IF($I$19=37.5,21.5,IF($I$19=25,24.1,IF($I$19=19,28.3,IF($I$19=12.5,31.6,IF($I$19=9.5,37.6,"")))))</f>
        <v>31.6</v>
      </c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50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</row>
    <row r="106" spans="1:48" ht="12.75">
      <c r="A106" s="145"/>
      <c r="B106" s="145"/>
      <c r="C106" s="145"/>
      <c r="D106" s="271">
        <v>8</v>
      </c>
      <c r="E106" s="280">
        <v>2.36</v>
      </c>
      <c r="F106" s="272">
        <v>2360</v>
      </c>
      <c r="G106" s="272">
        <f t="shared" si="60"/>
        <v>32.946584684146316</v>
      </c>
      <c r="H106" s="278">
        <v>0</v>
      </c>
      <c r="I106" s="276">
        <f>IF($I$19=37.5,15,IF($I$19=25,19,IF($I$19=19,23,IF($I$19=12.5,28,IF($I$19=9.5,32,"")))))</f>
        <v>28</v>
      </c>
      <c r="J106" s="276">
        <f>IF($I$19=37.5,41,IF($I$19=25,45,IF($I$19=19,49,IF($I$19=12.5,58,IF($I$19=9.5,67,"")))))</f>
        <v>58</v>
      </c>
      <c r="K106" s="274"/>
      <c r="L106" s="282">
        <v>0.6</v>
      </c>
      <c r="M106" s="281">
        <f>IF($I$19=37.5,11.7,IF($I$19=25,13.6,IF($I$19=19,16.7,IF($I$19=12.5,19.1,IF($I$19=9.5,23.5,"")))))</f>
        <v>19.1</v>
      </c>
      <c r="N106" s="281">
        <f>IF($I$19=37.5,15.7,IF($I$19=25,17.6,IF($I$19=19,20.7,IF($I$19=12.5,23.1,IF($I$19=9.5,27.5,"")))))</f>
        <v>23.1</v>
      </c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50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</row>
    <row r="107" spans="1:48" ht="12.75">
      <c r="A107" s="145"/>
      <c r="B107" s="145"/>
      <c r="C107" s="145"/>
      <c r="D107" s="271">
        <v>16</v>
      </c>
      <c r="E107" s="280">
        <v>1.18</v>
      </c>
      <c r="F107" s="272">
        <v>1180</v>
      </c>
      <c r="G107" s="272">
        <f t="shared" si="60"/>
        <v>24.11831168315992</v>
      </c>
      <c r="H107" s="278">
        <v>0</v>
      </c>
      <c r="I107" s="283"/>
      <c r="J107" s="283"/>
      <c r="K107" s="274"/>
      <c r="L107" s="282">
        <v>0.3</v>
      </c>
      <c r="M107" s="281">
        <f>IF($I$19=37.5,10,IF($I$19=25,11.4,IF($I$19=19,13.7,IF($I$19=12.5,15.5,IF($I$19=9.5,18.7,"")))))</f>
        <v>15.5</v>
      </c>
      <c r="N107" s="281">
        <f>IF($I$19=37.5,10,IF($I$19=25,11.4,IF($I$19=19,13.7,IF($I$19=12.5,15.5,IF($I$19=9.5,18.7,"")))))</f>
        <v>15.5</v>
      </c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50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</row>
    <row r="108" spans="1:48" ht="12.75">
      <c r="A108" s="145"/>
      <c r="B108" s="145"/>
      <c r="C108" s="145"/>
      <c r="D108" s="271">
        <v>30</v>
      </c>
      <c r="E108" s="280">
        <v>0.6</v>
      </c>
      <c r="F108" s="272">
        <v>600</v>
      </c>
      <c r="G108" s="272">
        <f t="shared" si="60"/>
        <v>17.789676992918196</v>
      </c>
      <c r="H108" s="278">
        <v>0</v>
      </c>
      <c r="I108" s="283"/>
      <c r="J108" s="283"/>
      <c r="K108" s="274"/>
      <c r="L108" s="215"/>
      <c r="M108" s="215"/>
      <c r="N108" s="215"/>
      <c r="O108" s="145"/>
      <c r="P108" s="145"/>
      <c r="Q108" s="145"/>
      <c r="R108" s="277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50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</row>
    <row r="109" spans="1:48" ht="12.75">
      <c r="A109" s="145"/>
      <c r="B109" s="145"/>
      <c r="C109" s="145"/>
      <c r="D109" s="271">
        <v>50</v>
      </c>
      <c r="E109" s="280">
        <v>0.3</v>
      </c>
      <c r="F109" s="272">
        <v>300</v>
      </c>
      <c r="G109" s="272">
        <f t="shared" si="60"/>
        <v>13.02280581041226</v>
      </c>
      <c r="H109" s="278">
        <v>0</v>
      </c>
      <c r="I109" s="283"/>
      <c r="J109" s="283"/>
      <c r="K109" s="274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50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</row>
    <row r="110" spans="1:48" ht="12.75">
      <c r="A110" s="145"/>
      <c r="B110" s="145"/>
      <c r="C110" s="145"/>
      <c r="D110" s="271">
        <v>100</v>
      </c>
      <c r="E110" s="280">
        <v>0.15</v>
      </c>
      <c r="F110" s="272">
        <v>150</v>
      </c>
      <c r="G110" s="272">
        <f t="shared" si="60"/>
        <v>9.533251854051084</v>
      </c>
      <c r="H110" s="278">
        <v>0</v>
      </c>
      <c r="I110" s="283"/>
      <c r="J110" s="283"/>
      <c r="K110" s="274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50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</row>
    <row r="111" spans="1:48" ht="12.75">
      <c r="A111" s="145"/>
      <c r="B111" s="145"/>
      <c r="C111" s="145"/>
      <c r="D111" s="284">
        <v>200</v>
      </c>
      <c r="E111" s="285">
        <v>0.075</v>
      </c>
      <c r="F111" s="286">
        <v>75</v>
      </c>
      <c r="G111" s="286">
        <f t="shared" si="60"/>
        <v>6.978748837681653</v>
      </c>
      <c r="H111" s="287">
        <v>0</v>
      </c>
      <c r="I111" s="276">
        <f>IF($I$19=37.5,0,IF($I$19=25,1,IF($I$19=19,2,IF($I$19=12.5,2,IF($I$19=9.5,2,"")))))</f>
        <v>2</v>
      </c>
      <c r="J111" s="276">
        <f>IF($I$19=37.5,6,IF($I$19=25,7,IF($I$19=19,8,IF($I$19=12.5,10,IF($I$19=9.5,10,"")))))</f>
        <v>10</v>
      </c>
      <c r="K111" s="274"/>
      <c r="L111" s="145"/>
      <c r="M111" s="145"/>
      <c r="N111" s="145"/>
      <c r="O111" s="145"/>
      <c r="P111" s="145"/>
      <c r="Q111" s="145"/>
      <c r="R111" s="145"/>
      <c r="S111" s="277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50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</row>
    <row r="112" spans="1:48" ht="12.75">
      <c r="A112" s="145"/>
      <c r="B112" s="145"/>
      <c r="C112" s="145"/>
      <c r="D112" s="268"/>
      <c r="E112" s="268"/>
      <c r="F112" s="268"/>
      <c r="G112" s="268">
        <v>0</v>
      </c>
      <c r="H112" s="288">
        <v>0</v>
      </c>
      <c r="I112" s="145"/>
      <c r="J112" s="145"/>
      <c r="K112" s="274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50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</row>
    <row r="113" spans="1:48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50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</row>
    <row r="114" spans="1:48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50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</row>
    <row r="115" spans="1:48" ht="16.5" thickBot="1">
      <c r="A115" s="145"/>
      <c r="B115" s="145"/>
      <c r="C115" s="145"/>
      <c r="D115" s="145"/>
      <c r="E115" s="179" t="s">
        <v>74</v>
      </c>
      <c r="F115" s="179"/>
      <c r="G115" s="179"/>
      <c r="H115" s="179"/>
      <c r="I115" s="179"/>
      <c r="J115" s="145"/>
      <c r="K115" s="179"/>
      <c r="L115" s="179"/>
      <c r="M115" s="179"/>
      <c r="N115" s="179"/>
      <c r="O115" s="179"/>
      <c r="P115" s="179"/>
      <c r="Q115" s="179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50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</row>
    <row r="116" spans="1:48" ht="16.5" thickBot="1">
      <c r="A116" s="145"/>
      <c r="B116" s="145"/>
      <c r="C116" s="145"/>
      <c r="D116" s="145"/>
      <c r="E116" s="179"/>
      <c r="F116" s="664" t="s">
        <v>75</v>
      </c>
      <c r="G116" s="665"/>
      <c r="H116" s="664" t="s">
        <v>76</v>
      </c>
      <c r="I116" s="665"/>
      <c r="J116" s="664" t="s">
        <v>77</v>
      </c>
      <c r="K116" s="665"/>
      <c r="L116" s="664" t="s">
        <v>78</v>
      </c>
      <c r="M116" s="665"/>
      <c r="N116" s="664" t="s">
        <v>79</v>
      </c>
      <c r="O116" s="665"/>
      <c r="P116" s="145"/>
      <c r="Q116" s="179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50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</row>
    <row r="117" spans="1:48" ht="16.5" thickBot="1">
      <c r="A117" s="145"/>
      <c r="B117" s="145"/>
      <c r="C117" s="145"/>
      <c r="D117" s="145"/>
      <c r="E117" s="254" t="s">
        <v>62</v>
      </c>
      <c r="F117" s="289" t="s">
        <v>68</v>
      </c>
      <c r="G117" s="289" t="s">
        <v>69</v>
      </c>
      <c r="H117" s="289" t="s">
        <v>68</v>
      </c>
      <c r="I117" s="289" t="s">
        <v>69</v>
      </c>
      <c r="J117" s="289" t="s">
        <v>68</v>
      </c>
      <c r="K117" s="289" t="s">
        <v>69</v>
      </c>
      <c r="L117" s="289" t="s">
        <v>68</v>
      </c>
      <c r="M117" s="289" t="s">
        <v>69</v>
      </c>
      <c r="N117" s="289" t="s">
        <v>68</v>
      </c>
      <c r="O117" s="289" t="s">
        <v>69</v>
      </c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50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</row>
    <row r="118" spans="1:48" ht="16.5" thickBot="1">
      <c r="A118" s="145"/>
      <c r="B118" s="145"/>
      <c r="C118" s="145"/>
      <c r="D118" s="145"/>
      <c r="E118" s="254">
        <v>50</v>
      </c>
      <c r="F118" s="290">
        <v>100</v>
      </c>
      <c r="G118" s="291"/>
      <c r="H118" s="291"/>
      <c r="I118" s="291"/>
      <c r="J118" s="291"/>
      <c r="K118" s="291"/>
      <c r="L118" s="291"/>
      <c r="M118" s="291"/>
      <c r="N118" s="291"/>
      <c r="O118" s="292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50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</row>
    <row r="119" spans="1:48" ht="16.5" thickBot="1">
      <c r="A119" s="145"/>
      <c r="B119" s="145"/>
      <c r="C119" s="145"/>
      <c r="D119" s="145"/>
      <c r="E119" s="254">
        <v>37.5</v>
      </c>
      <c r="F119" s="293">
        <v>90</v>
      </c>
      <c r="G119" s="283">
        <v>100</v>
      </c>
      <c r="H119" s="283">
        <v>100</v>
      </c>
      <c r="I119" s="283"/>
      <c r="J119" s="283"/>
      <c r="K119" s="283"/>
      <c r="L119" s="283"/>
      <c r="M119" s="283"/>
      <c r="N119" s="283"/>
      <c r="O119" s="294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50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</row>
    <row r="120" spans="1:48" ht="16.5" thickBot="1">
      <c r="A120" s="145"/>
      <c r="B120" s="145"/>
      <c r="C120" s="145"/>
      <c r="D120" s="145"/>
      <c r="E120" s="254">
        <v>25</v>
      </c>
      <c r="F120" s="293"/>
      <c r="G120" s="283">
        <v>90</v>
      </c>
      <c r="H120" s="283">
        <v>90</v>
      </c>
      <c r="I120" s="283">
        <v>100</v>
      </c>
      <c r="J120" s="283">
        <v>100</v>
      </c>
      <c r="K120" s="283"/>
      <c r="L120" s="283"/>
      <c r="M120" s="283"/>
      <c r="N120" s="283"/>
      <c r="O120" s="294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50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</row>
    <row r="121" spans="1:48" ht="16.5" thickBot="1">
      <c r="A121" s="145"/>
      <c r="B121" s="145"/>
      <c r="C121" s="145"/>
      <c r="D121" s="145"/>
      <c r="E121" s="254">
        <v>19</v>
      </c>
      <c r="F121" s="293"/>
      <c r="G121" s="283"/>
      <c r="H121" s="283"/>
      <c r="I121" s="283">
        <v>90</v>
      </c>
      <c r="J121" s="283">
        <v>90</v>
      </c>
      <c r="K121" s="283">
        <v>100</v>
      </c>
      <c r="L121" s="283">
        <v>100</v>
      </c>
      <c r="M121" s="283"/>
      <c r="N121" s="283"/>
      <c r="O121" s="294"/>
      <c r="P121" s="145"/>
      <c r="Q121" s="145"/>
      <c r="R121" s="145"/>
      <c r="S121" s="277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50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</row>
    <row r="122" spans="1:48" ht="16.5" thickBot="1">
      <c r="A122" s="145"/>
      <c r="B122" s="145"/>
      <c r="C122" s="145"/>
      <c r="D122" s="145"/>
      <c r="E122" s="254">
        <v>12.5</v>
      </c>
      <c r="F122" s="293"/>
      <c r="G122" s="283"/>
      <c r="H122" s="283"/>
      <c r="I122" s="283"/>
      <c r="J122" s="283"/>
      <c r="K122" s="283">
        <v>90</v>
      </c>
      <c r="L122" s="283">
        <v>90</v>
      </c>
      <c r="M122" s="283">
        <v>100</v>
      </c>
      <c r="N122" s="283">
        <v>100</v>
      </c>
      <c r="O122" s="294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50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</row>
    <row r="123" spans="1:48" ht="16.5" thickBot="1">
      <c r="A123" s="145"/>
      <c r="B123" s="145"/>
      <c r="C123" s="145"/>
      <c r="D123" s="145"/>
      <c r="E123" s="254">
        <v>9.5</v>
      </c>
      <c r="F123" s="293"/>
      <c r="G123" s="283"/>
      <c r="H123" s="283"/>
      <c r="I123" s="283"/>
      <c r="J123" s="283"/>
      <c r="K123" s="283"/>
      <c r="L123" s="283"/>
      <c r="M123" s="283">
        <v>90</v>
      </c>
      <c r="N123" s="283">
        <v>90</v>
      </c>
      <c r="O123" s="294">
        <v>100</v>
      </c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50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</row>
    <row r="124" spans="1:48" ht="16.5" thickBot="1">
      <c r="A124" s="145"/>
      <c r="B124" s="145"/>
      <c r="C124" s="145"/>
      <c r="D124" s="145"/>
      <c r="E124" s="254">
        <v>4.75</v>
      </c>
      <c r="F124" s="293"/>
      <c r="G124" s="283"/>
      <c r="H124" s="283"/>
      <c r="I124" s="283"/>
      <c r="J124" s="283"/>
      <c r="K124" s="283"/>
      <c r="L124" s="283"/>
      <c r="M124" s="283"/>
      <c r="N124" s="283"/>
      <c r="O124" s="294">
        <v>90</v>
      </c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50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</row>
    <row r="125" spans="1:48" ht="16.5" thickBot="1">
      <c r="A125" s="145"/>
      <c r="B125" s="145"/>
      <c r="C125" s="145"/>
      <c r="D125" s="145"/>
      <c r="E125" s="254">
        <v>2.36</v>
      </c>
      <c r="F125" s="293">
        <v>15</v>
      </c>
      <c r="G125" s="283">
        <v>41</v>
      </c>
      <c r="H125" s="283">
        <v>19</v>
      </c>
      <c r="I125" s="283">
        <v>45</v>
      </c>
      <c r="J125" s="283">
        <v>23</v>
      </c>
      <c r="K125" s="283">
        <v>49</v>
      </c>
      <c r="L125" s="283">
        <v>28</v>
      </c>
      <c r="M125" s="283">
        <v>58</v>
      </c>
      <c r="N125" s="283">
        <v>32</v>
      </c>
      <c r="O125" s="294">
        <v>67</v>
      </c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50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</row>
    <row r="126" spans="1:48" ht="16.5" thickBot="1">
      <c r="A126" s="145"/>
      <c r="B126" s="145"/>
      <c r="C126" s="145"/>
      <c r="D126" s="145"/>
      <c r="E126" s="254">
        <v>0.075</v>
      </c>
      <c r="F126" s="295">
        <v>0</v>
      </c>
      <c r="G126" s="296">
        <v>6</v>
      </c>
      <c r="H126" s="296">
        <v>1</v>
      </c>
      <c r="I126" s="296">
        <v>7</v>
      </c>
      <c r="J126" s="296">
        <v>2</v>
      </c>
      <c r="K126" s="296">
        <v>8</v>
      </c>
      <c r="L126" s="296">
        <v>2</v>
      </c>
      <c r="M126" s="296">
        <v>10</v>
      </c>
      <c r="N126" s="296">
        <v>2</v>
      </c>
      <c r="O126" s="297">
        <v>10</v>
      </c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50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</row>
    <row r="127" spans="1:48" ht="12.7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50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</row>
    <row r="128" spans="1:48" ht="16.5" thickBot="1">
      <c r="A128" s="145"/>
      <c r="B128" s="145"/>
      <c r="C128" s="145"/>
      <c r="D128" s="145"/>
      <c r="E128" s="179" t="s">
        <v>80</v>
      </c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50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</row>
    <row r="129" spans="1:48" ht="16.5" thickBot="1">
      <c r="A129" s="145"/>
      <c r="B129" s="145"/>
      <c r="C129" s="145"/>
      <c r="D129" s="145"/>
      <c r="E129" s="179"/>
      <c r="F129" s="664" t="s">
        <v>75</v>
      </c>
      <c r="G129" s="665"/>
      <c r="H129" s="664" t="s">
        <v>76</v>
      </c>
      <c r="I129" s="665"/>
      <c r="J129" s="664" t="s">
        <v>77</v>
      </c>
      <c r="K129" s="665"/>
      <c r="L129" s="664" t="s">
        <v>78</v>
      </c>
      <c r="M129" s="665"/>
      <c r="N129" s="664" t="s">
        <v>79</v>
      </c>
      <c r="O129" s="66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50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</row>
    <row r="130" spans="1:48" ht="16.5" thickBot="1">
      <c r="A130" s="145"/>
      <c r="B130" s="145"/>
      <c r="C130" s="145"/>
      <c r="D130" s="145"/>
      <c r="E130" s="254" t="s">
        <v>62</v>
      </c>
      <c r="F130" s="289" t="s">
        <v>68</v>
      </c>
      <c r="G130" s="289" t="s">
        <v>69</v>
      </c>
      <c r="H130" s="289" t="s">
        <v>68</v>
      </c>
      <c r="I130" s="289" t="s">
        <v>69</v>
      </c>
      <c r="J130" s="289" t="s">
        <v>68</v>
      </c>
      <c r="K130" s="289" t="s">
        <v>69</v>
      </c>
      <c r="L130" s="289" t="s">
        <v>68</v>
      </c>
      <c r="M130" s="289" t="s">
        <v>69</v>
      </c>
      <c r="N130" s="289" t="s">
        <v>68</v>
      </c>
      <c r="O130" s="289" t="s">
        <v>69</v>
      </c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50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</row>
    <row r="131" spans="1:48" ht="15.75">
      <c r="A131" s="145"/>
      <c r="B131" s="145"/>
      <c r="C131" s="145"/>
      <c r="D131" s="145"/>
      <c r="E131" s="191">
        <v>4.75</v>
      </c>
      <c r="F131" s="290">
        <v>34.7</v>
      </c>
      <c r="G131" s="291">
        <v>34.7</v>
      </c>
      <c r="H131" s="291">
        <v>39.5</v>
      </c>
      <c r="I131" s="291">
        <v>39.5</v>
      </c>
      <c r="J131" s="291"/>
      <c r="K131" s="291"/>
      <c r="L131" s="291"/>
      <c r="M131" s="291"/>
      <c r="N131" s="291"/>
      <c r="O131" s="292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50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</row>
    <row r="132" spans="1:48" ht="15.75">
      <c r="A132" s="145"/>
      <c r="B132" s="145"/>
      <c r="C132" s="145"/>
      <c r="D132" s="145"/>
      <c r="E132" s="191">
        <v>2.36</v>
      </c>
      <c r="F132" s="293">
        <v>23.3</v>
      </c>
      <c r="G132" s="283">
        <v>27.3</v>
      </c>
      <c r="H132" s="283">
        <v>26.8</v>
      </c>
      <c r="I132" s="283">
        <v>30.8</v>
      </c>
      <c r="J132" s="283">
        <v>34.6</v>
      </c>
      <c r="K132" s="283">
        <v>34.6</v>
      </c>
      <c r="L132" s="283">
        <v>39.1</v>
      </c>
      <c r="M132" s="283">
        <v>39.1</v>
      </c>
      <c r="N132" s="283">
        <v>47.2</v>
      </c>
      <c r="O132" s="294">
        <v>47.2</v>
      </c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50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</row>
    <row r="133" spans="1:48" ht="15.75">
      <c r="A133" s="145"/>
      <c r="B133" s="145"/>
      <c r="C133" s="145"/>
      <c r="D133" s="145"/>
      <c r="E133" s="191">
        <v>1.18</v>
      </c>
      <c r="F133" s="293">
        <v>15.5</v>
      </c>
      <c r="G133" s="283">
        <v>21.5</v>
      </c>
      <c r="H133" s="283">
        <v>18.1</v>
      </c>
      <c r="I133" s="283">
        <v>24.1</v>
      </c>
      <c r="J133" s="283">
        <v>22.3</v>
      </c>
      <c r="K133" s="283">
        <v>28.3</v>
      </c>
      <c r="L133" s="283">
        <v>25.6</v>
      </c>
      <c r="M133" s="283">
        <v>31.6</v>
      </c>
      <c r="N133" s="283">
        <v>31.6</v>
      </c>
      <c r="O133" s="294">
        <v>37.6</v>
      </c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50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</row>
    <row r="134" spans="1:48" ht="15.75">
      <c r="A134" s="145"/>
      <c r="B134" s="145"/>
      <c r="C134" s="145"/>
      <c r="D134" s="145"/>
      <c r="E134" s="191">
        <v>0.6</v>
      </c>
      <c r="F134" s="293">
        <v>11.7</v>
      </c>
      <c r="G134" s="283">
        <v>15.7</v>
      </c>
      <c r="H134" s="283">
        <v>13.6</v>
      </c>
      <c r="I134" s="283">
        <v>17.6</v>
      </c>
      <c r="J134" s="283">
        <v>16.7</v>
      </c>
      <c r="K134" s="283">
        <v>20.7</v>
      </c>
      <c r="L134" s="283">
        <v>19.1</v>
      </c>
      <c r="M134" s="283">
        <v>23.1</v>
      </c>
      <c r="N134" s="283">
        <v>23.5</v>
      </c>
      <c r="O134" s="294">
        <v>27.5</v>
      </c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50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</row>
    <row r="135" spans="1:48" ht="15.75">
      <c r="A135" s="145"/>
      <c r="B135" s="145"/>
      <c r="C135" s="145"/>
      <c r="D135" s="145"/>
      <c r="E135" s="191">
        <v>0.3</v>
      </c>
      <c r="F135" s="293">
        <v>10</v>
      </c>
      <c r="G135" s="283">
        <v>10</v>
      </c>
      <c r="H135" s="283">
        <v>11.4</v>
      </c>
      <c r="I135" s="283">
        <v>11.4</v>
      </c>
      <c r="J135" s="283">
        <v>13.7</v>
      </c>
      <c r="K135" s="283">
        <v>13.7</v>
      </c>
      <c r="L135" s="283">
        <v>15.5</v>
      </c>
      <c r="M135" s="283">
        <v>15.5</v>
      </c>
      <c r="N135" s="283">
        <v>18.7</v>
      </c>
      <c r="O135" s="294">
        <v>18.7</v>
      </c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50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</row>
    <row r="136" spans="1:48" ht="12.75">
      <c r="A136" s="145"/>
      <c r="B136" s="145"/>
      <c r="C136" s="145"/>
      <c r="D136" s="145"/>
      <c r="E136" s="298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50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</row>
    <row r="137" ht="13.5" thickBot="1">
      <c r="E137" s="105"/>
    </row>
    <row r="138" spans="5:9" ht="13.5" thickBot="1">
      <c r="E138" s="105"/>
      <c r="F138" s="117" t="s">
        <v>283</v>
      </c>
      <c r="G138" s="118">
        <v>3</v>
      </c>
      <c r="H138" s="120">
        <v>4</v>
      </c>
      <c r="I138" s="119">
        <v>5</v>
      </c>
    </row>
    <row r="139" spans="6:9" ht="12.75">
      <c r="F139" s="106">
        <v>1.18</v>
      </c>
      <c r="G139" s="107">
        <v>21.5</v>
      </c>
      <c r="H139" s="108">
        <v>22.5</v>
      </c>
      <c r="I139" s="109">
        <v>23.5</v>
      </c>
    </row>
    <row r="140" spans="6:9" ht="12.75">
      <c r="F140" s="110">
        <v>2.36</v>
      </c>
      <c r="G140" s="111">
        <v>19</v>
      </c>
      <c r="H140" s="13">
        <v>20</v>
      </c>
      <c r="I140" s="112">
        <v>21</v>
      </c>
    </row>
    <row r="141" spans="6:9" ht="12.75">
      <c r="F141" s="110">
        <v>4.75</v>
      </c>
      <c r="G141" s="111">
        <v>16</v>
      </c>
      <c r="H141" s="13">
        <v>17</v>
      </c>
      <c r="I141" s="112">
        <v>18</v>
      </c>
    </row>
    <row r="142" spans="6:9" ht="12.75">
      <c r="F142" s="110">
        <v>9.5</v>
      </c>
      <c r="G142" s="111">
        <v>14</v>
      </c>
      <c r="H142" s="13">
        <v>15</v>
      </c>
      <c r="I142" s="112">
        <v>16</v>
      </c>
    </row>
    <row r="143" spans="6:9" ht="12.75">
      <c r="F143" s="110">
        <v>12.5</v>
      </c>
      <c r="G143" s="111">
        <v>13</v>
      </c>
      <c r="H143" s="13">
        <v>14</v>
      </c>
      <c r="I143" s="112">
        <v>15</v>
      </c>
    </row>
    <row r="144" spans="6:9" ht="12.75">
      <c r="F144" s="110">
        <v>19</v>
      </c>
      <c r="G144" s="111">
        <v>12</v>
      </c>
      <c r="H144" s="13">
        <v>13</v>
      </c>
      <c r="I144" s="112">
        <v>14</v>
      </c>
    </row>
    <row r="145" spans="6:9" ht="12.75">
      <c r="F145" s="110">
        <v>25</v>
      </c>
      <c r="G145" s="111">
        <v>11</v>
      </c>
      <c r="H145" s="13">
        <v>12</v>
      </c>
      <c r="I145" s="112">
        <v>13</v>
      </c>
    </row>
    <row r="146" spans="6:9" ht="12.75">
      <c r="F146" s="110">
        <v>37.5</v>
      </c>
      <c r="G146" s="111">
        <v>10</v>
      </c>
      <c r="H146" s="13">
        <v>11</v>
      </c>
      <c r="I146" s="112">
        <v>12</v>
      </c>
    </row>
    <row r="147" spans="6:9" ht="12.75">
      <c r="F147" s="110">
        <v>50</v>
      </c>
      <c r="G147" s="111">
        <v>9.5</v>
      </c>
      <c r="H147" s="13">
        <v>10.5</v>
      </c>
      <c r="I147" s="112">
        <v>11.5</v>
      </c>
    </row>
    <row r="148" spans="6:9" ht="13.5" thickBot="1">
      <c r="F148" s="113">
        <v>63</v>
      </c>
      <c r="G148" s="114">
        <v>9</v>
      </c>
      <c r="H148" s="115">
        <v>10</v>
      </c>
      <c r="I148" s="116">
        <v>11</v>
      </c>
    </row>
    <row r="149" spans="6:9" ht="12.75">
      <c r="F149" s="125"/>
      <c r="G149" s="125"/>
      <c r="H149" s="125"/>
      <c r="I149" s="125"/>
    </row>
    <row r="150" spans="6:9" ht="12.75">
      <c r="F150" s="125"/>
      <c r="G150" s="125"/>
      <c r="H150" s="125"/>
      <c r="I150" s="125"/>
    </row>
    <row r="151" spans="6:9" ht="12.75">
      <c r="F151" s="125"/>
      <c r="G151" s="125"/>
      <c r="H151" s="125"/>
      <c r="I151" s="125"/>
    </row>
    <row r="152" spans="6:9" ht="12.75">
      <c r="F152" s="125"/>
      <c r="G152" s="125"/>
      <c r="H152" s="125"/>
      <c r="I152" s="125"/>
    </row>
    <row r="153" spans="6:9" ht="13.5" thickBot="1">
      <c r="F153" s="125"/>
      <c r="G153" s="125"/>
      <c r="H153" s="125"/>
      <c r="I153" s="125"/>
    </row>
    <row r="154" spans="5:14" ht="13.5" thickBot="1">
      <c r="E154" s="661" t="s">
        <v>283</v>
      </c>
      <c r="F154" s="662"/>
      <c r="G154" s="662"/>
      <c r="H154" s="662"/>
      <c r="I154" s="662"/>
      <c r="J154" s="662"/>
      <c r="K154" s="662"/>
      <c r="L154" s="662"/>
      <c r="M154" s="662"/>
      <c r="N154" s="663"/>
    </row>
    <row r="155" spans="4:17" ht="13.5" thickBot="1">
      <c r="D155" s="130" t="s">
        <v>166</v>
      </c>
      <c r="E155" s="129">
        <v>1.18</v>
      </c>
      <c r="F155" s="121">
        <v>2.36</v>
      </c>
      <c r="G155" s="121">
        <v>4.75</v>
      </c>
      <c r="H155" s="121">
        <v>9.5</v>
      </c>
      <c r="I155" s="121">
        <v>12.5</v>
      </c>
      <c r="J155" s="121">
        <v>19</v>
      </c>
      <c r="K155" s="121">
        <v>25</v>
      </c>
      <c r="L155" s="121">
        <v>37.5</v>
      </c>
      <c r="M155" s="121">
        <v>50</v>
      </c>
      <c r="N155" s="122">
        <v>63</v>
      </c>
      <c r="P155" s="135" t="s">
        <v>286</v>
      </c>
      <c r="Q155" s="11">
        <f>MATCH('Vol. Analysis'!E63,D156:D176,0)</f>
        <v>11</v>
      </c>
    </row>
    <row r="156" spans="4:17" ht="12.75">
      <c r="D156" s="131">
        <v>0.03</v>
      </c>
      <c r="E156" s="126">
        <v>21.5</v>
      </c>
      <c r="F156" s="123">
        <v>19</v>
      </c>
      <c r="G156" s="123">
        <v>16</v>
      </c>
      <c r="H156" s="123">
        <v>14</v>
      </c>
      <c r="I156" s="123">
        <v>13</v>
      </c>
      <c r="J156" s="123">
        <v>12</v>
      </c>
      <c r="K156" s="123">
        <v>11</v>
      </c>
      <c r="L156" s="123">
        <v>10</v>
      </c>
      <c r="M156" s="123">
        <v>9.5</v>
      </c>
      <c r="N156" s="124">
        <v>9</v>
      </c>
      <c r="P156" s="135" t="s">
        <v>287</v>
      </c>
      <c r="Q156" s="11">
        <f>MATCH(I19,E155:N155,0)</f>
        <v>5</v>
      </c>
    </row>
    <row r="157" spans="4:14" ht="12.75">
      <c r="D157" s="132">
        <v>0.031</v>
      </c>
      <c r="E157" s="127">
        <v>21.6</v>
      </c>
      <c r="F157" s="13">
        <v>19.1</v>
      </c>
      <c r="G157" s="13">
        <v>16.1</v>
      </c>
      <c r="H157" s="13">
        <v>14.1</v>
      </c>
      <c r="I157" s="13">
        <v>13.1</v>
      </c>
      <c r="J157" s="13">
        <v>12.1</v>
      </c>
      <c r="K157" s="13">
        <v>11.1</v>
      </c>
      <c r="L157" s="13">
        <v>10.1</v>
      </c>
      <c r="M157" s="13">
        <v>9.6</v>
      </c>
      <c r="N157" s="112">
        <v>9.1</v>
      </c>
    </row>
    <row r="158" spans="4:16" ht="12.75">
      <c r="D158" s="133">
        <v>0.032</v>
      </c>
      <c r="E158" s="127">
        <v>21.7</v>
      </c>
      <c r="F158" s="13">
        <v>19.2</v>
      </c>
      <c r="G158" s="13">
        <v>16.2</v>
      </c>
      <c r="H158" s="13">
        <v>14.2</v>
      </c>
      <c r="I158" s="13">
        <v>13.2</v>
      </c>
      <c r="J158" s="13">
        <v>12.2</v>
      </c>
      <c r="K158" s="13">
        <v>11.2</v>
      </c>
      <c r="L158" s="13">
        <v>10.2</v>
      </c>
      <c r="M158" s="13">
        <v>9.7</v>
      </c>
      <c r="N158" s="112">
        <v>9.2</v>
      </c>
      <c r="P158" s="11">
        <f>LOOKUP(I19,E155:N176)</f>
        <v>63</v>
      </c>
    </row>
    <row r="159" spans="4:14" ht="12.75">
      <c r="D159" s="132">
        <v>0.033</v>
      </c>
      <c r="E159" s="127">
        <v>21.8</v>
      </c>
      <c r="F159" s="13">
        <v>19.3</v>
      </c>
      <c r="G159" s="13">
        <v>16.3</v>
      </c>
      <c r="H159" s="13">
        <v>14.3</v>
      </c>
      <c r="I159" s="13">
        <v>13.3</v>
      </c>
      <c r="J159" s="13">
        <v>12.3</v>
      </c>
      <c r="K159" s="13">
        <v>11.3</v>
      </c>
      <c r="L159" s="13">
        <v>10.3</v>
      </c>
      <c r="M159" s="13">
        <v>9.8</v>
      </c>
      <c r="N159" s="112">
        <v>9.3</v>
      </c>
    </row>
    <row r="160" spans="4:14" ht="12.75">
      <c r="D160" s="133">
        <v>0.034</v>
      </c>
      <c r="E160" s="127">
        <v>21.9</v>
      </c>
      <c r="F160" s="13">
        <v>19.4</v>
      </c>
      <c r="G160" s="13">
        <v>16.4</v>
      </c>
      <c r="H160" s="13">
        <v>14.4</v>
      </c>
      <c r="I160" s="13">
        <v>13.4</v>
      </c>
      <c r="J160" s="13">
        <v>12.4</v>
      </c>
      <c r="K160" s="13">
        <v>11.4</v>
      </c>
      <c r="L160" s="13">
        <v>10.4</v>
      </c>
      <c r="M160" s="13">
        <v>9.9</v>
      </c>
      <c r="N160" s="112">
        <v>9.4</v>
      </c>
    </row>
    <row r="161" spans="4:14" ht="12.75">
      <c r="D161" s="132">
        <v>0.035</v>
      </c>
      <c r="E161" s="127">
        <v>22</v>
      </c>
      <c r="F161" s="13">
        <v>19.5</v>
      </c>
      <c r="G161" s="13">
        <v>16.5</v>
      </c>
      <c r="H161" s="13">
        <v>14.5</v>
      </c>
      <c r="I161" s="13">
        <v>13.5</v>
      </c>
      <c r="J161" s="13">
        <v>12.5</v>
      </c>
      <c r="K161" s="13">
        <v>11.5</v>
      </c>
      <c r="L161" s="13">
        <v>10.5</v>
      </c>
      <c r="M161" s="13">
        <v>10</v>
      </c>
      <c r="N161" s="112">
        <v>9.5</v>
      </c>
    </row>
    <row r="162" spans="4:14" ht="12.75">
      <c r="D162" s="133">
        <v>0.036</v>
      </c>
      <c r="E162" s="127">
        <v>22.1</v>
      </c>
      <c r="F162" s="13">
        <v>19.6</v>
      </c>
      <c r="G162" s="13">
        <v>16.6</v>
      </c>
      <c r="H162" s="13">
        <v>14.6</v>
      </c>
      <c r="I162" s="13">
        <v>13.6</v>
      </c>
      <c r="J162" s="13">
        <v>12.6</v>
      </c>
      <c r="K162" s="13">
        <v>11.6</v>
      </c>
      <c r="L162" s="13">
        <v>10.6</v>
      </c>
      <c r="M162" s="13">
        <v>10.1</v>
      </c>
      <c r="N162" s="112">
        <v>9.6</v>
      </c>
    </row>
    <row r="163" spans="4:14" ht="12.75">
      <c r="D163" s="132">
        <v>0.037</v>
      </c>
      <c r="E163" s="127">
        <v>22.2</v>
      </c>
      <c r="F163" s="13">
        <v>19.7</v>
      </c>
      <c r="G163" s="13">
        <v>16.7</v>
      </c>
      <c r="H163" s="13">
        <v>14.7</v>
      </c>
      <c r="I163" s="13">
        <v>13.7</v>
      </c>
      <c r="J163" s="13">
        <v>12.7</v>
      </c>
      <c r="K163" s="13">
        <v>11.7</v>
      </c>
      <c r="L163" s="13">
        <v>10.7</v>
      </c>
      <c r="M163" s="13">
        <v>10.2</v>
      </c>
      <c r="N163" s="112">
        <v>9.7</v>
      </c>
    </row>
    <row r="164" spans="4:14" ht="12.75">
      <c r="D164" s="133">
        <v>0.038</v>
      </c>
      <c r="E164" s="127">
        <v>22.3</v>
      </c>
      <c r="F164" s="13">
        <v>19.8</v>
      </c>
      <c r="G164" s="13">
        <v>16.8</v>
      </c>
      <c r="H164" s="13">
        <v>14.8</v>
      </c>
      <c r="I164" s="13">
        <v>13.8</v>
      </c>
      <c r="J164" s="13">
        <v>12.8</v>
      </c>
      <c r="K164" s="13">
        <v>11.8</v>
      </c>
      <c r="L164" s="13">
        <v>10.8</v>
      </c>
      <c r="M164" s="13">
        <v>10.3</v>
      </c>
      <c r="N164" s="112">
        <v>9.8</v>
      </c>
    </row>
    <row r="165" spans="4:14" ht="12.75">
      <c r="D165" s="132">
        <v>0.039</v>
      </c>
      <c r="E165" s="127">
        <v>22.4</v>
      </c>
      <c r="F165" s="13">
        <v>19.9</v>
      </c>
      <c r="G165" s="13">
        <v>16.9</v>
      </c>
      <c r="H165" s="13">
        <v>14.9</v>
      </c>
      <c r="I165" s="13">
        <v>13.9</v>
      </c>
      <c r="J165" s="13">
        <v>12.9</v>
      </c>
      <c r="K165" s="13">
        <v>11.9</v>
      </c>
      <c r="L165" s="13">
        <v>10.9</v>
      </c>
      <c r="M165" s="13">
        <v>10.4</v>
      </c>
      <c r="N165" s="112">
        <v>9.9</v>
      </c>
    </row>
    <row r="166" spans="4:14" ht="12.75">
      <c r="D166" s="133">
        <v>0.04</v>
      </c>
      <c r="E166" s="127">
        <v>22.5</v>
      </c>
      <c r="F166" s="13">
        <v>20</v>
      </c>
      <c r="G166" s="13">
        <v>17</v>
      </c>
      <c r="H166" s="13">
        <v>15</v>
      </c>
      <c r="I166" s="13">
        <v>14</v>
      </c>
      <c r="J166" s="13">
        <v>13</v>
      </c>
      <c r="K166" s="13">
        <v>12</v>
      </c>
      <c r="L166" s="13">
        <v>11</v>
      </c>
      <c r="M166" s="13">
        <v>10.5</v>
      </c>
      <c r="N166" s="112">
        <v>10</v>
      </c>
    </row>
    <row r="167" spans="4:14" ht="12.75">
      <c r="D167" s="132">
        <v>0.041</v>
      </c>
      <c r="E167" s="127">
        <v>22.6</v>
      </c>
      <c r="F167" s="13">
        <v>20.1</v>
      </c>
      <c r="G167" s="13">
        <v>17.1</v>
      </c>
      <c r="H167" s="13">
        <v>15.1</v>
      </c>
      <c r="I167" s="13">
        <v>14.1</v>
      </c>
      <c r="J167" s="13">
        <v>13.1</v>
      </c>
      <c r="K167" s="13">
        <v>12.1</v>
      </c>
      <c r="L167" s="13">
        <v>11.1</v>
      </c>
      <c r="M167" s="13">
        <v>10.6</v>
      </c>
      <c r="N167" s="112">
        <v>10.1</v>
      </c>
    </row>
    <row r="168" spans="4:14" ht="12.75">
      <c r="D168" s="133">
        <v>0.042</v>
      </c>
      <c r="E168" s="127">
        <v>22.7</v>
      </c>
      <c r="F168" s="13">
        <v>20.2</v>
      </c>
      <c r="G168" s="13">
        <v>17.2</v>
      </c>
      <c r="H168" s="13">
        <v>15.2</v>
      </c>
      <c r="I168" s="13">
        <v>14.2</v>
      </c>
      <c r="J168" s="13">
        <v>13.2</v>
      </c>
      <c r="K168" s="13">
        <v>12.2</v>
      </c>
      <c r="L168" s="13">
        <v>11.2</v>
      </c>
      <c r="M168" s="13">
        <v>10.7</v>
      </c>
      <c r="N168" s="112">
        <v>10.2</v>
      </c>
    </row>
    <row r="169" spans="4:14" ht="12.75">
      <c r="D169" s="132">
        <v>0.043</v>
      </c>
      <c r="E169" s="127">
        <v>22.8</v>
      </c>
      <c r="F169" s="13">
        <v>20.3</v>
      </c>
      <c r="G169" s="13">
        <v>17.3</v>
      </c>
      <c r="H169" s="13">
        <v>15.3</v>
      </c>
      <c r="I169" s="13">
        <v>14.3</v>
      </c>
      <c r="J169" s="13">
        <v>13.3</v>
      </c>
      <c r="K169" s="13">
        <v>12.3</v>
      </c>
      <c r="L169" s="13">
        <v>11.3</v>
      </c>
      <c r="M169" s="13">
        <v>10.8</v>
      </c>
      <c r="N169" s="112">
        <v>10.3</v>
      </c>
    </row>
    <row r="170" spans="4:14" ht="12.75">
      <c r="D170" s="133">
        <v>0.044</v>
      </c>
      <c r="E170" s="127">
        <v>22.9</v>
      </c>
      <c r="F170" s="13">
        <v>20.4</v>
      </c>
      <c r="G170" s="13">
        <v>17.4</v>
      </c>
      <c r="H170" s="13">
        <v>15.4</v>
      </c>
      <c r="I170" s="13">
        <v>14.4</v>
      </c>
      <c r="J170" s="13">
        <v>13.4</v>
      </c>
      <c r="K170" s="13">
        <v>12.4</v>
      </c>
      <c r="L170" s="13">
        <v>11.4</v>
      </c>
      <c r="M170" s="13">
        <v>10.9</v>
      </c>
      <c r="N170" s="112">
        <v>10.4</v>
      </c>
    </row>
    <row r="171" spans="4:14" ht="12.75">
      <c r="D171" s="132">
        <v>0.045</v>
      </c>
      <c r="E171" s="127">
        <v>23</v>
      </c>
      <c r="F171" s="13">
        <v>20.5</v>
      </c>
      <c r="G171" s="13">
        <v>17.5</v>
      </c>
      <c r="H171" s="13">
        <v>15.5</v>
      </c>
      <c r="I171" s="13">
        <v>14.5</v>
      </c>
      <c r="J171" s="13">
        <v>13.5</v>
      </c>
      <c r="K171" s="13">
        <v>12.5</v>
      </c>
      <c r="L171" s="13">
        <v>11.5</v>
      </c>
      <c r="M171" s="13">
        <v>11</v>
      </c>
      <c r="N171" s="112">
        <v>10.5</v>
      </c>
    </row>
    <row r="172" spans="4:14" ht="12.75">
      <c r="D172" s="133">
        <v>0.046</v>
      </c>
      <c r="E172" s="127">
        <v>23.1</v>
      </c>
      <c r="F172" s="13">
        <v>20.6</v>
      </c>
      <c r="G172" s="13">
        <v>17.6</v>
      </c>
      <c r="H172" s="13">
        <v>15.6</v>
      </c>
      <c r="I172" s="13">
        <v>14.6</v>
      </c>
      <c r="J172" s="13">
        <v>13.6</v>
      </c>
      <c r="K172" s="13">
        <v>12.6</v>
      </c>
      <c r="L172" s="13">
        <v>11.6</v>
      </c>
      <c r="M172" s="13">
        <v>11.1</v>
      </c>
      <c r="N172" s="112">
        <v>10.6</v>
      </c>
    </row>
    <row r="173" spans="4:14" ht="12.75">
      <c r="D173" s="132">
        <v>0.047</v>
      </c>
      <c r="E173" s="127">
        <v>23.2</v>
      </c>
      <c r="F173" s="13">
        <v>20.7</v>
      </c>
      <c r="G173" s="13">
        <v>17.7</v>
      </c>
      <c r="H173" s="13">
        <v>15.7</v>
      </c>
      <c r="I173" s="13">
        <v>14.7</v>
      </c>
      <c r="J173" s="13">
        <v>13.7</v>
      </c>
      <c r="K173" s="13">
        <v>12.7</v>
      </c>
      <c r="L173" s="13">
        <v>11.7</v>
      </c>
      <c r="M173" s="13">
        <v>11.2</v>
      </c>
      <c r="N173" s="112">
        <v>10.7</v>
      </c>
    </row>
    <row r="174" spans="4:14" ht="12.75">
      <c r="D174" s="133">
        <v>0.048</v>
      </c>
      <c r="E174" s="127">
        <v>23.3</v>
      </c>
      <c r="F174" s="13">
        <v>20.8</v>
      </c>
      <c r="G174" s="13">
        <v>17.8</v>
      </c>
      <c r="H174" s="13">
        <v>15.8</v>
      </c>
      <c r="I174" s="13">
        <v>14.8</v>
      </c>
      <c r="J174" s="13">
        <v>13.8</v>
      </c>
      <c r="K174" s="13">
        <v>12.8</v>
      </c>
      <c r="L174" s="13">
        <v>11.8</v>
      </c>
      <c r="M174" s="13">
        <v>11.3</v>
      </c>
      <c r="N174" s="112">
        <v>10.8</v>
      </c>
    </row>
    <row r="175" spans="4:14" ht="12.75">
      <c r="D175" s="132">
        <v>0.049</v>
      </c>
      <c r="E175" s="127">
        <v>23.4</v>
      </c>
      <c r="F175" s="13">
        <v>20.9</v>
      </c>
      <c r="G175" s="13">
        <v>17.9</v>
      </c>
      <c r="H175" s="13">
        <v>15.9</v>
      </c>
      <c r="I175" s="13">
        <v>14.9</v>
      </c>
      <c r="J175" s="13">
        <v>13.9</v>
      </c>
      <c r="K175" s="13">
        <v>12.9</v>
      </c>
      <c r="L175" s="13">
        <v>11.9</v>
      </c>
      <c r="M175" s="13">
        <v>11.4</v>
      </c>
      <c r="N175" s="112">
        <v>10.9</v>
      </c>
    </row>
    <row r="176" spans="4:14" ht="13.5" thickBot="1">
      <c r="D176" s="134">
        <v>0.05</v>
      </c>
      <c r="E176" s="128">
        <v>23.5</v>
      </c>
      <c r="F176" s="115">
        <v>21</v>
      </c>
      <c r="G176" s="115">
        <v>18</v>
      </c>
      <c r="H176" s="115">
        <v>16</v>
      </c>
      <c r="I176" s="115">
        <v>15</v>
      </c>
      <c r="J176" s="115">
        <v>14</v>
      </c>
      <c r="K176" s="115">
        <v>13</v>
      </c>
      <c r="L176" s="115">
        <v>12</v>
      </c>
      <c r="M176" s="115">
        <v>11.5</v>
      </c>
      <c r="N176" s="116">
        <v>11</v>
      </c>
    </row>
  </sheetData>
  <sheetProtection password="C9C1" sheet="1" objects="1" scenarios="1"/>
  <mergeCells count="53">
    <mergeCell ref="AJ9:AU9"/>
    <mergeCell ref="AJ22:AU22"/>
    <mergeCell ref="AJ37:AU37"/>
    <mergeCell ref="AJ52:AU52"/>
    <mergeCell ref="AJ19:AK19"/>
    <mergeCell ref="AJ11:AK11"/>
    <mergeCell ref="U9:AF9"/>
    <mergeCell ref="U35:AF36"/>
    <mergeCell ref="C21:D21"/>
    <mergeCell ref="E4:G4"/>
    <mergeCell ref="E6:J6"/>
    <mergeCell ref="U62:V62"/>
    <mergeCell ref="U38:V38"/>
    <mergeCell ref="U11:V11"/>
    <mergeCell ref="E18:N18"/>
    <mergeCell ref="U48:V48"/>
    <mergeCell ref="U12:V12"/>
    <mergeCell ref="U54:V54"/>
    <mergeCell ref="U53:V53"/>
    <mergeCell ref="E17:H17"/>
    <mergeCell ref="P22:Q22"/>
    <mergeCell ref="U50:AF51"/>
    <mergeCell ref="AJ55:AK55"/>
    <mergeCell ref="AJ12:AK12"/>
    <mergeCell ref="AJ25:AK25"/>
    <mergeCell ref="AJ20:AK20"/>
    <mergeCell ref="AJ34:AK34"/>
    <mergeCell ref="AJ24:AK24"/>
    <mergeCell ref="AJ49:AK49"/>
    <mergeCell ref="AJ54:AK54"/>
    <mergeCell ref="AJ64:AK64"/>
    <mergeCell ref="C22:D22"/>
    <mergeCell ref="E20:N20"/>
    <mergeCell ref="U28:V28"/>
    <mergeCell ref="U27:V27"/>
    <mergeCell ref="AJ48:AK48"/>
    <mergeCell ref="U39:V39"/>
    <mergeCell ref="AJ39:AK39"/>
    <mergeCell ref="AJ40:AK40"/>
    <mergeCell ref="U63:V63"/>
    <mergeCell ref="I97:J97"/>
    <mergeCell ref="M96:N96"/>
    <mergeCell ref="F116:G116"/>
    <mergeCell ref="H116:I116"/>
    <mergeCell ref="J116:K116"/>
    <mergeCell ref="L116:M116"/>
    <mergeCell ref="N116:O116"/>
    <mergeCell ref="E154:N154"/>
    <mergeCell ref="N129:O129"/>
    <mergeCell ref="F129:G129"/>
    <mergeCell ref="H129:I129"/>
    <mergeCell ref="J129:K129"/>
    <mergeCell ref="L129:M129"/>
  </mergeCells>
  <conditionalFormatting sqref="O24:O36">
    <cfRule type="cellIs" priority="1" dxfId="0" operator="notBetween" stopIfTrue="1">
      <formula>Q24</formula>
      <formula>P24</formula>
    </cfRule>
  </conditionalFormatting>
  <conditionalFormatting sqref="U14:AU74">
    <cfRule type="expression" priority="2" dxfId="1" stopIfTrue="1">
      <formula>ISERROR($U$14:$AU$74)</formula>
    </cfRule>
  </conditionalFormatting>
  <conditionalFormatting sqref="Z75">
    <cfRule type="expression" priority="3" dxfId="1" stopIfTrue="1">
      <formula>ISERROR($Z$75)</formula>
    </cfRule>
  </conditionalFormatting>
  <printOptions horizontalCentered="1" verticalCentered="1"/>
  <pageMargins left="0" right="0" top="0" bottom="0" header="0" footer="0"/>
  <pageSetup cellComments="asDisplayed" fitToHeight="1" fitToWidth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B2:X746"/>
  <sheetViews>
    <sheetView showGridLines="0" showZeros="0" showOutlineSymbols="0" zoomScale="55" zoomScaleNormal="55" workbookViewId="0" topLeftCell="A1">
      <selection activeCell="I15" sqref="I15"/>
    </sheetView>
  </sheetViews>
  <sheetFormatPr defaultColWidth="9.00390625" defaultRowHeight="15.75"/>
  <cols>
    <col min="1" max="1" width="8.125" style="311" customWidth="1"/>
    <col min="2" max="2" width="10.375" style="311" customWidth="1"/>
    <col min="3" max="3" width="10.00390625" style="311" bestFit="1" customWidth="1"/>
    <col min="4" max="4" width="10.375" style="311" customWidth="1"/>
    <col min="5" max="5" width="10.50390625" style="311" customWidth="1"/>
    <col min="6" max="6" width="10.625" style="311" customWidth="1"/>
    <col min="7" max="7" width="11.125" style="311" customWidth="1"/>
    <col min="8" max="8" width="12.375" style="311" bestFit="1" customWidth="1"/>
    <col min="9" max="9" width="14.625" style="311" customWidth="1"/>
    <col min="10" max="10" width="10.375" style="311" customWidth="1"/>
    <col min="11" max="11" width="12.125" style="311" customWidth="1"/>
    <col min="12" max="13" width="11.25390625" style="311" customWidth="1"/>
    <col min="14" max="14" width="10.25390625" style="311" customWidth="1"/>
    <col min="15" max="15" width="10.125" style="311" customWidth="1"/>
    <col min="16" max="16" width="14.375" style="311" customWidth="1"/>
    <col min="17" max="17" width="12.375" style="311" customWidth="1"/>
    <col min="18" max="18" width="10.375" style="311" customWidth="1"/>
    <col min="19" max="19" width="10.125" style="311" customWidth="1"/>
    <col min="20" max="21" width="9.00390625" style="311" customWidth="1"/>
    <col min="22" max="22" width="11.75390625" style="311" customWidth="1"/>
    <col min="23" max="16384" width="9.00390625" style="311" customWidth="1"/>
  </cols>
  <sheetData>
    <row r="1" ht="20.25" customHeight="1"/>
    <row r="2" spans="6:13" ht="20.25" customHeight="1">
      <c r="F2" s="156" t="s">
        <v>0</v>
      </c>
      <c r="G2" s="698" t="str">
        <f>'Project Info.'!D2</f>
        <v>Diseño MAC Rodadura Calles del Sur</v>
      </c>
      <c r="H2" s="698"/>
      <c r="I2" s="698"/>
      <c r="J2" s="698"/>
      <c r="K2" s="698"/>
      <c r="L2" s="698"/>
      <c r="M2" s="698"/>
    </row>
    <row r="3" spans="6:13" ht="20.25" customHeight="1">
      <c r="F3" s="156" t="s">
        <v>1</v>
      </c>
      <c r="G3" s="698" t="str">
        <f>'Project Info.'!D3</f>
        <v>Planta TIBURCIO</v>
      </c>
      <c r="H3" s="698"/>
      <c r="I3" s="698"/>
      <c r="J3" s="698"/>
      <c r="K3" s="698"/>
      <c r="L3" s="698"/>
      <c r="M3" s="698"/>
    </row>
    <row r="4" ht="20.25" customHeight="1"/>
    <row r="5" ht="20.25" customHeight="1" thickBot="1"/>
    <row r="6" spans="6:14" ht="20.25" customHeight="1">
      <c r="F6" s="312">
        <f>'Grad. &amp; Batching'!E22</f>
        <v>0.11</v>
      </c>
      <c r="G6" s="313" t="s">
        <v>97</v>
      </c>
      <c r="H6" s="699" t="str">
        <f>'Project Info.'!D8</f>
        <v>Grava 1/2 Mina Tiburcio</v>
      </c>
      <c r="I6" s="699"/>
      <c r="J6" s="314">
        <f>'Grad. &amp; Batching'!J22</f>
        <v>0</v>
      </c>
      <c r="K6" s="313" t="s">
        <v>102</v>
      </c>
      <c r="L6" s="738" t="str">
        <f>'Project Info.'!D13</f>
        <v>Combinada Practica I</v>
      </c>
      <c r="M6" s="739"/>
      <c r="N6" s="740"/>
    </row>
    <row r="7" spans="6:14" ht="20.25" customHeight="1">
      <c r="F7" s="315">
        <f>'Grad. &amp; Batching'!F22</f>
        <v>0.14</v>
      </c>
      <c r="G7" s="316" t="s">
        <v>98</v>
      </c>
      <c r="H7" s="700" t="str">
        <f>'Project Info.'!D9</f>
        <v>Gravilla 3/8 Marquez</v>
      </c>
      <c r="I7" s="700"/>
      <c r="J7" s="317">
        <f>'Grad. &amp; Batching'!K22</f>
        <v>0</v>
      </c>
      <c r="K7" s="316" t="s">
        <v>103</v>
      </c>
      <c r="L7" s="625" t="str">
        <f>'Project Info.'!D14</f>
        <v>Combinada Practica II</v>
      </c>
      <c r="M7" s="626"/>
      <c r="N7" s="627"/>
    </row>
    <row r="8" spans="6:14" ht="20.25" customHeight="1">
      <c r="F8" s="315">
        <f>'Grad. &amp; Batching'!G22</f>
        <v>0.66</v>
      </c>
      <c r="G8" s="316" t="s">
        <v>99</v>
      </c>
      <c r="H8" s="700" t="str">
        <f>'Project Info.'!D10</f>
        <v>Arena EPSA</v>
      </c>
      <c r="I8" s="700"/>
      <c r="J8" s="317">
        <f>'Grad. &amp; Batching'!L22</f>
        <v>0</v>
      </c>
      <c r="K8" s="316" t="s">
        <v>104</v>
      </c>
      <c r="L8" s="741" t="str">
        <f>'Project Info.'!D15</f>
        <v>Combinada Practica III</v>
      </c>
      <c r="M8" s="742"/>
      <c r="N8" s="743"/>
    </row>
    <row r="9" spans="6:14" ht="20.25" customHeight="1" thickBot="1">
      <c r="F9" s="315">
        <f>'Grad. &amp; Batching'!H22</f>
        <v>0.09</v>
      </c>
      <c r="G9" s="316" t="s">
        <v>100</v>
      </c>
      <c r="H9" s="700" t="str">
        <f>'Project Info.'!D11</f>
        <v>Arena Caliza XX</v>
      </c>
      <c r="I9" s="700"/>
      <c r="J9" s="317">
        <f>'Grad. &amp; Batching'!M22</f>
        <v>0</v>
      </c>
      <c r="K9" s="316" t="s">
        <v>105</v>
      </c>
      <c r="L9" s="625">
        <f>'Project Info.'!D16</f>
        <v>0</v>
      </c>
      <c r="M9" s="626"/>
      <c r="N9" s="627"/>
    </row>
    <row r="10" spans="6:18" ht="20.25" customHeight="1" thickBot="1">
      <c r="F10" s="318">
        <f>'Grad. &amp; Batching'!I22</f>
        <v>0</v>
      </c>
      <c r="G10" s="319" t="s">
        <v>101</v>
      </c>
      <c r="H10" s="711" t="str">
        <f>'Project Info.'!D12</f>
        <v>Combinada Teorica</v>
      </c>
      <c r="I10" s="711"/>
      <c r="J10" s="320">
        <f>'Grad. &amp; Batching'!N22</f>
        <v>0</v>
      </c>
      <c r="K10" s="319" t="s">
        <v>106</v>
      </c>
      <c r="L10" s="744">
        <f>'Project Info.'!D17</f>
        <v>0</v>
      </c>
      <c r="M10" s="745"/>
      <c r="N10" s="746"/>
      <c r="Q10" s="321" t="s">
        <v>159</v>
      </c>
      <c r="R10" s="322">
        <f>P23</f>
        <v>0.05</v>
      </c>
    </row>
    <row r="11" spans="17:18" ht="20.25" customHeight="1" thickBot="1">
      <c r="Q11" s="321" t="s">
        <v>92</v>
      </c>
      <c r="R11" s="323">
        <f>U26</f>
        <v>2.415002210084707</v>
      </c>
    </row>
    <row r="12" spans="2:18" ht="20.25" customHeight="1" thickBot="1">
      <c r="B12" s="324" t="s">
        <v>129</v>
      </c>
      <c r="C12" s="325"/>
      <c r="E12" s="326"/>
      <c r="F12" s="326"/>
      <c r="J12" s="712" t="s">
        <v>135</v>
      </c>
      <c r="K12" s="713"/>
      <c r="L12" s="714"/>
      <c r="M12" s="327" t="s">
        <v>138</v>
      </c>
      <c r="N12" s="327" t="s">
        <v>139</v>
      </c>
      <c r="Q12" s="328" t="s">
        <v>160</v>
      </c>
      <c r="R12" s="329">
        <v>1.032</v>
      </c>
    </row>
    <row r="13" spans="2:18" ht="20.25" customHeight="1" thickBot="1">
      <c r="B13" s="330"/>
      <c r="C13" s="331"/>
      <c r="D13" s="332" t="s">
        <v>130</v>
      </c>
      <c r="E13" s="333"/>
      <c r="F13" s="334" t="s">
        <v>134</v>
      </c>
      <c r="G13" s="331"/>
      <c r="H13" s="335" t="e">
        <f>(E13+E14)/E15</f>
        <v>#DIV/0!</v>
      </c>
      <c r="J13" s="336" t="s">
        <v>269</v>
      </c>
      <c r="K13" s="337"/>
      <c r="L13" s="338"/>
      <c r="M13" s="339"/>
      <c r="N13" s="339"/>
      <c r="P13" s="340"/>
      <c r="Q13" s="341" t="s">
        <v>158</v>
      </c>
      <c r="R13" s="342">
        <f>(100-(R10*100))/((100/R11)-((R10*100)/R12))</f>
        <v>2.59826442127437</v>
      </c>
    </row>
    <row r="14" spans="2:18" ht="20.25" customHeight="1" thickBot="1">
      <c r="B14" s="343"/>
      <c r="C14" s="344"/>
      <c r="D14" s="345" t="s">
        <v>131</v>
      </c>
      <c r="E14" s="346"/>
      <c r="F14" s="347" t="s">
        <v>133</v>
      </c>
      <c r="G14" s="348"/>
      <c r="H14" s="349" t="e">
        <f>E14/E15</f>
        <v>#DIV/0!</v>
      </c>
      <c r="J14" s="350" t="s">
        <v>270</v>
      </c>
      <c r="K14" s="351"/>
      <c r="L14" s="352"/>
      <c r="M14" s="339"/>
      <c r="N14" s="339"/>
      <c r="P14" s="340"/>
      <c r="Q14" s="341" t="s">
        <v>165</v>
      </c>
      <c r="R14" s="353" t="e">
        <f>100*(($R$13-$L$25)/($L$25*$R$13))*$R$12</f>
        <v>#DIV/0!</v>
      </c>
    </row>
    <row r="15" spans="2:14" ht="20.25" customHeight="1" thickBot="1">
      <c r="B15" s="354"/>
      <c r="C15" s="348"/>
      <c r="D15" s="355" t="s">
        <v>132</v>
      </c>
      <c r="E15" s="356"/>
      <c r="I15" s="357"/>
      <c r="J15" s="350" t="s">
        <v>271</v>
      </c>
      <c r="K15" s="351"/>
      <c r="L15" s="352"/>
      <c r="M15" s="339"/>
      <c r="N15" s="339"/>
    </row>
    <row r="16" spans="9:14" ht="20.25" customHeight="1" thickBot="1">
      <c r="I16" s="357"/>
      <c r="J16" s="706" t="s">
        <v>136</v>
      </c>
      <c r="K16" s="707"/>
      <c r="L16" s="708"/>
      <c r="M16" s="358">
        <f>F27</f>
        <v>2.4850468172657036</v>
      </c>
      <c r="N16" s="358">
        <f>F27</f>
        <v>2.4850468172657036</v>
      </c>
    </row>
    <row r="17" spans="2:21" ht="20.25" customHeight="1" thickBot="1">
      <c r="B17" s="324" t="s">
        <v>307</v>
      </c>
      <c r="C17" s="359"/>
      <c r="D17" s="360"/>
      <c r="E17" s="361"/>
      <c r="F17" s="357"/>
      <c r="G17" s="357"/>
      <c r="H17" s="357"/>
      <c r="I17" s="357"/>
      <c r="J17" s="362" t="s">
        <v>137</v>
      </c>
      <c r="K17" s="363"/>
      <c r="L17" s="364"/>
      <c r="M17" s="365" t="e">
        <f>((M13-((M15-M14)/M16)))/M13</f>
        <v>#DIV/0!</v>
      </c>
      <c r="N17" s="365" t="e">
        <f>((N13-((N15-N14)/N16)))/N13</f>
        <v>#DIV/0!</v>
      </c>
      <c r="P17" s="366" t="s">
        <v>140</v>
      </c>
      <c r="Q17" s="367"/>
      <c r="R17" s="368" t="s">
        <v>141</v>
      </c>
      <c r="S17" s="368" t="s">
        <v>142</v>
      </c>
      <c r="T17" s="369" t="s">
        <v>143</v>
      </c>
      <c r="U17" s="370"/>
    </row>
    <row r="18" spans="2:20" ht="20.25" customHeight="1" thickBot="1">
      <c r="B18" s="371" t="s">
        <v>114</v>
      </c>
      <c r="C18" s="372" t="s">
        <v>108</v>
      </c>
      <c r="D18" s="372" t="s">
        <v>109</v>
      </c>
      <c r="E18" s="372" t="s">
        <v>110</v>
      </c>
      <c r="F18" s="373" t="s">
        <v>111</v>
      </c>
      <c r="G18" s="374" t="s">
        <v>112</v>
      </c>
      <c r="H18" s="373" t="s">
        <v>113</v>
      </c>
      <c r="I18" s="357"/>
      <c r="J18" s="375"/>
      <c r="K18" s="375"/>
      <c r="L18" s="376" t="s">
        <v>272</v>
      </c>
      <c r="M18" s="709" t="e">
        <f>AVERAGE(M17:N17)</f>
        <v>#DIV/0!</v>
      </c>
      <c r="N18" s="710"/>
      <c r="P18" s="321"/>
      <c r="Q18" s="377" t="s">
        <v>121</v>
      </c>
      <c r="R18" s="339"/>
      <c r="S18" s="378"/>
      <c r="T18" s="379" t="e">
        <f>R18/S18</f>
        <v>#DIV/0!</v>
      </c>
    </row>
    <row r="19" spans="2:20" ht="20.25" customHeight="1" thickBot="1">
      <c r="B19" s="380">
        <v>1</v>
      </c>
      <c r="C19" s="339"/>
      <c r="D19" s="378"/>
      <c r="E19" s="381"/>
      <c r="F19" s="382" t="e">
        <f>C19/(E19-D19)</f>
        <v>#DIV/0!</v>
      </c>
      <c r="G19" s="383" t="e">
        <f>C19/(C19-D19)</f>
        <v>#DIV/0!</v>
      </c>
      <c r="H19" s="384" t="e">
        <f>(E19-C19)/C19</f>
        <v>#DIV/0!</v>
      </c>
      <c r="I19" s="357"/>
      <c r="P19" s="321"/>
      <c r="Q19" s="377" t="s">
        <v>122</v>
      </c>
      <c r="R19" s="385"/>
      <c r="S19" s="386"/>
      <c r="T19" s="387" t="e">
        <f>R19/S19</f>
        <v>#DIV/0!</v>
      </c>
    </row>
    <row r="20" spans="2:20" ht="20.25" customHeight="1" thickBot="1">
      <c r="B20" s="371">
        <v>2</v>
      </c>
      <c r="C20" s="388"/>
      <c r="D20" s="389"/>
      <c r="E20" s="390"/>
      <c r="F20" s="391" t="e">
        <f>C20/(E20-D20)</f>
        <v>#DIV/0!</v>
      </c>
      <c r="G20" s="392" t="e">
        <f>C20/(C20-D20)</f>
        <v>#DIV/0!</v>
      </c>
      <c r="H20" s="393" t="e">
        <f>(E20-C20)/C20</f>
        <v>#DIV/0!</v>
      </c>
      <c r="I20" s="357"/>
      <c r="J20" s="366" t="s">
        <v>124</v>
      </c>
      <c r="K20" s="394"/>
      <c r="L20" s="367"/>
      <c r="M20" s="395"/>
      <c r="P20" s="321"/>
      <c r="Q20" s="377" t="s">
        <v>123</v>
      </c>
      <c r="R20" s="388"/>
      <c r="S20" s="389"/>
      <c r="T20" s="396" t="e">
        <f>R20/S20</f>
        <v>#DIV/0!</v>
      </c>
    </row>
    <row r="21" spans="2:20" ht="20.25" customHeight="1" thickBot="1">
      <c r="B21" s="357"/>
      <c r="C21" s="375"/>
      <c r="D21" s="375"/>
      <c r="E21" s="397" t="s">
        <v>115</v>
      </c>
      <c r="F21" s="398" t="e">
        <f>AVERAGE(F19:F20)</f>
        <v>#DIV/0!</v>
      </c>
      <c r="G21" s="398" t="e">
        <f>AVERAGE(G19:G20)</f>
        <v>#DIV/0!</v>
      </c>
      <c r="H21" s="399" t="e">
        <f>AVERAGE(H19:H20)</f>
        <v>#DIV/0!</v>
      </c>
      <c r="I21" s="357"/>
      <c r="J21" s="400"/>
      <c r="K21" s="401"/>
      <c r="L21" s="402" t="s">
        <v>127</v>
      </c>
      <c r="M21" s="403"/>
      <c r="P21" s="375"/>
      <c r="Q21" s="375"/>
      <c r="R21" s="375"/>
      <c r="S21" s="404" t="s">
        <v>115</v>
      </c>
      <c r="T21" s="405" t="e">
        <f>AVERAGE(T18:T20)</f>
        <v>#DIV/0!</v>
      </c>
    </row>
    <row r="22" spans="2:13" ht="20.25" customHeight="1" thickBot="1">
      <c r="B22" s="324" t="s">
        <v>164</v>
      </c>
      <c r="C22" s="359"/>
      <c r="D22" s="360"/>
      <c r="E22" s="361"/>
      <c r="F22" s="357"/>
      <c r="G22" s="357"/>
      <c r="H22" s="357"/>
      <c r="I22" s="357"/>
      <c r="J22" s="406"/>
      <c r="K22" s="407"/>
      <c r="L22" s="408" t="s">
        <v>125</v>
      </c>
      <c r="M22" s="403"/>
    </row>
    <row r="23" spans="2:21" ht="20.25" customHeight="1" thickBot="1">
      <c r="B23" s="328"/>
      <c r="C23" s="372" t="s">
        <v>116</v>
      </c>
      <c r="D23" s="372" t="s">
        <v>118</v>
      </c>
      <c r="E23" s="372" t="s">
        <v>119</v>
      </c>
      <c r="F23" s="409"/>
      <c r="G23" s="409"/>
      <c r="H23" s="409"/>
      <c r="I23" s="357"/>
      <c r="J23" s="410"/>
      <c r="K23" s="410"/>
      <c r="L23" s="411" t="s">
        <v>128</v>
      </c>
      <c r="M23" s="412" t="e">
        <f>M22/M21</f>
        <v>#DIV/0!</v>
      </c>
      <c r="O23" s="324" t="s">
        <v>154</v>
      </c>
      <c r="P23" s="413">
        <v>0.05</v>
      </c>
      <c r="Q23" s="324" t="s">
        <v>155</v>
      </c>
      <c r="R23" s="414"/>
      <c r="S23" s="410"/>
      <c r="T23" s="410"/>
      <c r="U23" s="415"/>
    </row>
    <row r="24" spans="2:21" ht="20.25" customHeight="1" thickBot="1">
      <c r="B24" s="371" t="s">
        <v>114</v>
      </c>
      <c r="C24" s="416" t="s">
        <v>117</v>
      </c>
      <c r="D24" s="417" t="s">
        <v>126</v>
      </c>
      <c r="E24" s="417" t="s">
        <v>120</v>
      </c>
      <c r="F24" s="373" t="s">
        <v>111</v>
      </c>
      <c r="G24" s="374" t="s">
        <v>112</v>
      </c>
      <c r="H24" s="374" t="s">
        <v>113</v>
      </c>
      <c r="I24" s="357"/>
      <c r="J24" s="375"/>
      <c r="K24" s="375"/>
      <c r="L24" s="375"/>
      <c r="M24" s="375"/>
      <c r="O24" s="372" t="s">
        <v>156</v>
      </c>
      <c r="P24" s="372" t="s">
        <v>88</v>
      </c>
      <c r="Q24" s="372" t="s">
        <v>90</v>
      </c>
      <c r="R24" s="372" t="s">
        <v>91</v>
      </c>
      <c r="S24" s="372" t="s">
        <v>88</v>
      </c>
      <c r="T24" s="372"/>
      <c r="U24" s="372" t="s">
        <v>87</v>
      </c>
    </row>
    <row r="25" spans="2:21" ht="20.25" customHeight="1" thickBot="1">
      <c r="B25" s="372">
        <v>1</v>
      </c>
      <c r="C25" s="339">
        <v>497</v>
      </c>
      <c r="D25" s="378">
        <v>671.2</v>
      </c>
      <c r="E25" s="381">
        <v>988</v>
      </c>
      <c r="F25" s="418">
        <f>C25/(D25+500-E25)</f>
        <v>2.7128820960698685</v>
      </c>
      <c r="G25" s="418">
        <f>C25/(D25+C25-E25)</f>
        <v>2.7580466148723635</v>
      </c>
      <c r="H25" s="419">
        <f>(500-C25)/C25</f>
        <v>0.006036217303822937</v>
      </c>
      <c r="I25" s="357"/>
      <c r="J25" s="420" t="s">
        <v>163</v>
      </c>
      <c r="K25" s="421"/>
      <c r="L25" s="398" t="e">
        <f>100/(((100-'Grad. &amp; Batching'!O30)/F21)+('Grad. &amp; Batching'!O30/F27))</f>
        <v>#DIV/0!</v>
      </c>
      <c r="M25" s="375"/>
      <c r="O25" s="422" t="s">
        <v>157</v>
      </c>
      <c r="P25" s="422" t="s">
        <v>89</v>
      </c>
      <c r="Q25" s="422" t="s">
        <v>241</v>
      </c>
      <c r="R25" s="422" t="s">
        <v>161</v>
      </c>
      <c r="S25" s="422" t="s">
        <v>162</v>
      </c>
      <c r="T25" s="422" t="s">
        <v>92</v>
      </c>
      <c r="U25" s="422" t="s">
        <v>92</v>
      </c>
    </row>
    <row r="26" spans="2:21" ht="20.25" customHeight="1" thickBot="1">
      <c r="B26" s="374">
        <v>2</v>
      </c>
      <c r="C26" s="423">
        <v>469.5</v>
      </c>
      <c r="D26" s="424">
        <v>688</v>
      </c>
      <c r="E26" s="425">
        <v>980</v>
      </c>
      <c r="F26" s="418">
        <f>C26/(D26+500-E26)</f>
        <v>2.2572115384615383</v>
      </c>
      <c r="G26" s="418">
        <f>C26/(D26+C26-E26)</f>
        <v>2.6450704225352113</v>
      </c>
      <c r="H26" s="419">
        <f>(500-C26)/C26</f>
        <v>0.06496272630457935</v>
      </c>
      <c r="I26" s="357"/>
      <c r="J26" s="420" t="s">
        <v>258</v>
      </c>
      <c r="K26" s="421"/>
      <c r="L26" s="398" t="e">
        <f>100/(((100-'Grad. &amp; Batching'!O30)/G21)+('Grad. &amp; Batching'!O30/G27))</f>
        <v>#DIV/0!</v>
      </c>
      <c r="M26" s="375"/>
      <c r="O26" s="426">
        <v>1</v>
      </c>
      <c r="P26" s="339">
        <v>1500</v>
      </c>
      <c r="Q26" s="378">
        <v>2500</v>
      </c>
      <c r="R26" s="381">
        <v>1590</v>
      </c>
      <c r="S26" s="427">
        <f>Q26-R26</f>
        <v>910</v>
      </c>
      <c r="T26" s="428">
        <f>P26/(P26-S26)</f>
        <v>2.542372881355932</v>
      </c>
      <c r="U26" s="736">
        <f>AVERAGE(T26:T27)</f>
        <v>2.415002210084707</v>
      </c>
    </row>
    <row r="27" spans="2:21" ht="20.25" customHeight="1" thickBot="1">
      <c r="B27" s="357"/>
      <c r="C27" s="375"/>
      <c r="D27" s="375"/>
      <c r="E27" s="397" t="s">
        <v>115</v>
      </c>
      <c r="F27" s="398">
        <f>AVERAGE(F25:F26)</f>
        <v>2.4850468172657036</v>
      </c>
      <c r="G27" s="398">
        <f>AVERAGE(G25:G26)</f>
        <v>2.7015585187037874</v>
      </c>
      <c r="H27" s="399">
        <f>AVERAGE(H25:H26)</f>
        <v>0.03549947180420114</v>
      </c>
      <c r="I27" s="429"/>
      <c r="J27" s="420" t="s">
        <v>259</v>
      </c>
      <c r="K27" s="421"/>
      <c r="L27" s="399" t="e">
        <f>100/(((100-'Grad. &amp; Batching'!O30)/H21)+('Grad. &amp; Batching'!O30/H27))</f>
        <v>#DIV/0!</v>
      </c>
      <c r="M27" s="375"/>
      <c r="O27" s="430">
        <v>2</v>
      </c>
      <c r="P27" s="388">
        <v>1500</v>
      </c>
      <c r="Q27" s="389">
        <v>2500</v>
      </c>
      <c r="R27" s="390">
        <v>1655.7</v>
      </c>
      <c r="S27" s="431">
        <f>Q27-R27</f>
        <v>844.3</v>
      </c>
      <c r="T27" s="432">
        <f>P27/(P27-S27)</f>
        <v>2.2876315388134816</v>
      </c>
      <c r="U27" s="737"/>
    </row>
    <row r="28" spans="9:19" ht="20.25" customHeight="1" thickBot="1">
      <c r="I28" s="357"/>
      <c r="J28" s="159"/>
      <c r="K28" s="159"/>
      <c r="L28" s="159"/>
      <c r="M28" s="159"/>
      <c r="O28" s="357"/>
      <c r="R28" s="433"/>
      <c r="S28" s="434"/>
    </row>
    <row r="29" spans="2:14" ht="20.25" customHeight="1" thickBot="1">
      <c r="B29" s="328"/>
      <c r="C29" s="435"/>
      <c r="D29" s="701" t="s">
        <v>172</v>
      </c>
      <c r="E29" s="702"/>
      <c r="F29" s="703"/>
      <c r="G29" s="436"/>
      <c r="I29" s="437"/>
      <c r="J29" s="415"/>
      <c r="K29" s="415"/>
      <c r="L29" s="415"/>
      <c r="M29" s="437"/>
      <c r="N29" s="415"/>
    </row>
    <row r="30" spans="2:21" ht="20.25" customHeight="1" thickBot="1">
      <c r="B30" s="438" t="s">
        <v>171</v>
      </c>
      <c r="C30" s="439"/>
      <c r="D30" s="439" t="s">
        <v>81</v>
      </c>
      <c r="E30" s="439" t="s">
        <v>82</v>
      </c>
      <c r="F30" s="440" t="s">
        <v>83</v>
      </c>
      <c r="G30" s="439"/>
      <c r="H30" s="441" t="s">
        <v>87</v>
      </c>
      <c r="I30" s="704" t="s">
        <v>173</v>
      </c>
      <c r="J30" s="705"/>
      <c r="K30" s="705"/>
      <c r="L30" s="705"/>
      <c r="M30" s="705"/>
      <c r="N30" s="705"/>
      <c r="O30" s="442"/>
      <c r="P30" s="443" t="s">
        <v>87</v>
      </c>
      <c r="Q30" s="444"/>
      <c r="R30" s="441" t="s">
        <v>93</v>
      </c>
      <c r="S30" s="443" t="s">
        <v>93</v>
      </c>
      <c r="T30" s="444"/>
      <c r="U30" s="441" t="s">
        <v>87</v>
      </c>
    </row>
    <row r="31" spans="2:21" ht="20.25" customHeight="1" thickBot="1">
      <c r="B31" s="445" t="s">
        <v>84</v>
      </c>
      <c r="C31" s="446" t="s">
        <v>159</v>
      </c>
      <c r="D31" s="447" t="s">
        <v>85</v>
      </c>
      <c r="E31" s="447" t="s">
        <v>85</v>
      </c>
      <c r="F31" s="448" t="s">
        <v>85</v>
      </c>
      <c r="G31" s="446" t="s">
        <v>86</v>
      </c>
      <c r="H31" s="449" t="s">
        <v>86</v>
      </c>
      <c r="I31" s="439" t="s">
        <v>92</v>
      </c>
      <c r="J31" s="450" t="s">
        <v>166</v>
      </c>
      <c r="K31" s="442" t="s">
        <v>167</v>
      </c>
      <c r="L31" s="442" t="s">
        <v>168</v>
      </c>
      <c r="M31" s="442" t="s">
        <v>170</v>
      </c>
      <c r="N31" s="451" t="s">
        <v>169</v>
      </c>
      <c r="O31" s="452" t="s">
        <v>252</v>
      </c>
      <c r="P31" s="453" t="s">
        <v>252</v>
      </c>
      <c r="Q31" s="452" t="s">
        <v>253</v>
      </c>
      <c r="R31" s="454" t="s">
        <v>254</v>
      </c>
      <c r="S31" s="455" t="s">
        <v>250</v>
      </c>
      <c r="T31" s="452" t="s">
        <v>251</v>
      </c>
      <c r="U31" s="454" t="s">
        <v>251</v>
      </c>
    </row>
    <row r="32" spans="2:21" ht="20.25" customHeight="1">
      <c r="B32" s="610"/>
      <c r="C32" s="611"/>
      <c r="D32" s="612"/>
      <c r="E32" s="613"/>
      <c r="F32" s="613"/>
      <c r="G32" s="613"/>
      <c r="H32" s="543"/>
      <c r="I32" s="543"/>
      <c r="J32" s="614"/>
      <c r="K32" s="543"/>
      <c r="L32" s="543"/>
      <c r="M32" s="543"/>
      <c r="N32" s="543"/>
      <c r="O32" s="543"/>
      <c r="P32" s="615"/>
      <c r="Q32" s="543"/>
      <c r="R32" s="543"/>
      <c r="S32" s="543"/>
      <c r="T32" s="636"/>
      <c r="U32" s="544"/>
    </row>
    <row r="33" spans="2:21" ht="20.25" customHeight="1">
      <c r="B33" s="457" t="s">
        <v>144</v>
      </c>
      <c r="C33" s="458">
        <f>'Grad. &amp; Batching'!X32</f>
        <v>0.05</v>
      </c>
      <c r="D33" s="459"/>
      <c r="E33" s="459"/>
      <c r="F33" s="459"/>
      <c r="G33" s="595" t="str">
        <f>IF(F33&lt;1," ",D33/(F33-E33))</f>
        <v> </v>
      </c>
      <c r="H33" s="715" t="str">
        <f>IF(SUM(F33:F35)=0," ",AVERAGE(G33:G35))</f>
        <v> </v>
      </c>
      <c r="I33" s="715">
        <f>IF(H33=" ","",100/(((100-(C35*100))/$R$13)+((C35*100)/$R$12)))</f>
      </c>
      <c r="J33" s="718">
        <f>IF(I33="","",(I33-H33)/I33)</f>
      </c>
      <c r="K33" s="721">
        <f>IF(J33="","",100-((H33*(100-(C35*100)))/$L$25))</f>
      </c>
      <c r="L33" s="721">
        <f>IF(K33="","",100*((K33-(J33*100))/K33))</f>
      </c>
      <c r="M33" s="721">
        <f>IF(L33="","",(C35*100)-(($R$14/100)*(100-(C35*100))))</f>
      </c>
      <c r="N33" s="721">
        <f>IF(M33="","",'Grad. &amp; Batching'!$O$36/'Lab Data'!M33)</f>
      </c>
      <c r="O33" s="596"/>
      <c r="P33" s="727">
        <f>IF(SUM(O33:O35)=0,"",AVERAGE(O33:O35))</f>
      </c>
      <c r="Q33" s="724">
        <f>IF(P33="","",INT(AVERAGE(F33:F35)-AVERAGE(E33:E35)))</f>
      </c>
      <c r="R33" s="721">
        <f>IF(Q33="","",VLOOKUP(Q33,B60:C746,2))</f>
      </c>
      <c r="S33" s="727">
        <f>IF(R33="","",P33*R33)</f>
      </c>
      <c r="T33" s="597"/>
      <c r="U33" s="733">
        <f>IF(SUM(T33:T35)=0,"",AVERAGE(T33:T35))</f>
      </c>
    </row>
    <row r="34" spans="2:21" ht="20.25" customHeight="1">
      <c r="B34" s="457" t="s">
        <v>145</v>
      </c>
      <c r="C34" s="458">
        <f>'Grad. &amp; Batching'!X32</f>
        <v>0.05</v>
      </c>
      <c r="D34" s="459"/>
      <c r="E34" s="459"/>
      <c r="F34" s="459"/>
      <c r="G34" s="595" t="str">
        <f>IF(F34&lt;1," ",D34/(F34-E34))</f>
        <v> </v>
      </c>
      <c r="H34" s="716"/>
      <c r="I34" s="716"/>
      <c r="J34" s="719"/>
      <c r="K34" s="722"/>
      <c r="L34" s="722"/>
      <c r="M34" s="722"/>
      <c r="N34" s="722"/>
      <c r="O34" s="596"/>
      <c r="P34" s="728"/>
      <c r="Q34" s="725"/>
      <c r="R34" s="722"/>
      <c r="S34" s="728"/>
      <c r="T34" s="597"/>
      <c r="U34" s="734"/>
    </row>
    <row r="35" spans="2:21" ht="20.25" customHeight="1">
      <c r="B35" s="457" t="s">
        <v>245</v>
      </c>
      <c r="C35" s="460">
        <f>'Grad. &amp; Batching'!X32</f>
        <v>0.05</v>
      </c>
      <c r="D35" s="459"/>
      <c r="E35" s="459"/>
      <c r="F35" s="459"/>
      <c r="G35" s="595" t="str">
        <f>IF(F35&lt;1," ",D35/(F35-E35))</f>
        <v> </v>
      </c>
      <c r="H35" s="717"/>
      <c r="I35" s="717"/>
      <c r="J35" s="720"/>
      <c r="K35" s="723"/>
      <c r="L35" s="723"/>
      <c r="M35" s="723"/>
      <c r="N35" s="723"/>
      <c r="O35" s="596"/>
      <c r="P35" s="729"/>
      <c r="Q35" s="726"/>
      <c r="R35" s="723"/>
      <c r="S35" s="729"/>
      <c r="T35" s="597"/>
      <c r="U35" s="735"/>
    </row>
    <row r="36" spans="2:21" ht="20.25" customHeight="1">
      <c r="B36" s="598"/>
      <c r="C36" s="599">
        <f>'Grad. &amp; Batching'!X34</f>
        <v>0</v>
      </c>
      <c r="D36" s="600"/>
      <c r="E36" s="600"/>
      <c r="F36" s="600"/>
      <c r="G36" s="600"/>
      <c r="H36" s="601"/>
      <c r="I36" s="602"/>
      <c r="J36" s="603"/>
      <c r="K36" s="604"/>
      <c r="L36" s="604"/>
      <c r="M36" s="604"/>
      <c r="N36" s="604"/>
      <c r="O36" s="605"/>
      <c r="P36" s="606"/>
      <c r="Q36" s="606"/>
      <c r="R36" s="607"/>
      <c r="S36" s="606"/>
      <c r="T36" s="608"/>
      <c r="U36" s="609"/>
    </row>
    <row r="37" spans="2:21" ht="20.25" customHeight="1">
      <c r="B37" s="457" t="s">
        <v>146</v>
      </c>
      <c r="C37" s="460">
        <f>'Grad. &amp; Batching'!Y32</f>
        <v>0.055</v>
      </c>
      <c r="D37" s="459"/>
      <c r="E37" s="459"/>
      <c r="F37" s="459"/>
      <c r="G37" s="595" t="str">
        <f>IF(F37&lt;1," ",D37/(F37-E37))</f>
        <v> </v>
      </c>
      <c r="H37" s="715" t="str">
        <f>IF(SUM(F37:F39)=0," ",AVERAGE(G37:G39))</f>
        <v> </v>
      </c>
      <c r="I37" s="715">
        <f>IF(H37=" ","",100/(((100-(C39*100))/$R$13)+((C39*100)/$R$12)))</f>
      </c>
      <c r="J37" s="718">
        <f>IF(I37="","",(I37-H37)/I37)</f>
      </c>
      <c r="K37" s="721">
        <f>IF(J37="","",100-((H37*(100-(C39*100)))/$L$25))</f>
      </c>
      <c r="L37" s="721">
        <f>IF(K37="","",100*((K37-(J37*100))/K37))</f>
      </c>
      <c r="M37" s="721">
        <f>IF(L37="","",(C39*100)-(($R$14/100)*(100-(C39*100))))</f>
      </c>
      <c r="N37" s="721">
        <f>IF(M37="","",'Grad. &amp; Batching'!$O$36/'Lab Data'!M37)</f>
      </c>
      <c r="O37" s="596"/>
      <c r="P37" s="727">
        <f>IF(SUM(O37:O39)=0,"",AVERAGE(O37:O39))</f>
      </c>
      <c r="Q37" s="724">
        <f>IF(P37="","",INT(AVERAGE(F37:F39)-AVERAGE(E37:E39)))</f>
      </c>
      <c r="R37" s="721">
        <f>IF(Q37="","",VLOOKUP(Q37,B64:C750,2))</f>
      </c>
      <c r="S37" s="727">
        <f>IF(R37="","",P37*R37)</f>
      </c>
      <c r="T37" s="597"/>
      <c r="U37" s="733">
        <f>IF(SUM(T37:T39)=0,"",AVERAGE(T37:T39))</f>
      </c>
    </row>
    <row r="38" spans="2:21" ht="20.25" customHeight="1">
      <c r="B38" s="457" t="s">
        <v>147</v>
      </c>
      <c r="C38" s="460">
        <f>'Grad. &amp; Batching'!Y32</f>
        <v>0.055</v>
      </c>
      <c r="D38" s="459"/>
      <c r="E38" s="459"/>
      <c r="F38" s="459"/>
      <c r="G38" s="595" t="str">
        <f>IF(F38&lt;1," ",D38/(F38-E38))</f>
        <v> </v>
      </c>
      <c r="H38" s="716"/>
      <c r="I38" s="716"/>
      <c r="J38" s="719"/>
      <c r="K38" s="722"/>
      <c r="L38" s="722"/>
      <c r="M38" s="722"/>
      <c r="N38" s="722"/>
      <c r="O38" s="596"/>
      <c r="P38" s="728"/>
      <c r="Q38" s="725"/>
      <c r="R38" s="722"/>
      <c r="S38" s="728"/>
      <c r="T38" s="597"/>
      <c r="U38" s="734"/>
    </row>
    <row r="39" spans="2:21" ht="20.25" customHeight="1">
      <c r="B39" s="457" t="s">
        <v>246</v>
      </c>
      <c r="C39" s="460">
        <f>'Grad. &amp; Batching'!Y32</f>
        <v>0.055</v>
      </c>
      <c r="D39" s="459"/>
      <c r="E39" s="459"/>
      <c r="F39" s="459"/>
      <c r="G39" s="595" t="str">
        <f>IF(F39&lt;1," ",D39/(F39-E39))</f>
        <v> </v>
      </c>
      <c r="H39" s="717"/>
      <c r="I39" s="717"/>
      <c r="J39" s="720"/>
      <c r="K39" s="723"/>
      <c r="L39" s="723"/>
      <c r="M39" s="723"/>
      <c r="N39" s="723"/>
      <c r="O39" s="596"/>
      <c r="P39" s="729"/>
      <c r="Q39" s="726"/>
      <c r="R39" s="723"/>
      <c r="S39" s="729"/>
      <c r="T39" s="597"/>
      <c r="U39" s="735"/>
    </row>
    <row r="40" spans="2:21" ht="20.25" customHeight="1">
      <c r="B40" s="598"/>
      <c r="C40" s="599"/>
      <c r="D40" s="600"/>
      <c r="E40" s="600"/>
      <c r="F40" s="600"/>
      <c r="G40" s="600"/>
      <c r="H40" s="601"/>
      <c r="I40" s="602"/>
      <c r="J40" s="603"/>
      <c r="K40" s="604"/>
      <c r="L40" s="604"/>
      <c r="M40" s="604"/>
      <c r="N40" s="604"/>
      <c r="O40" s="605"/>
      <c r="P40" s="606"/>
      <c r="Q40" s="606"/>
      <c r="R40" s="607"/>
      <c r="S40" s="606"/>
      <c r="T40" s="608"/>
      <c r="U40" s="609"/>
    </row>
    <row r="41" spans="2:21" ht="20.25" customHeight="1">
      <c r="B41" s="457" t="s">
        <v>148</v>
      </c>
      <c r="C41" s="460">
        <f>'Grad. &amp; Batching'!Z32</f>
        <v>0.06</v>
      </c>
      <c r="D41" s="459"/>
      <c r="E41" s="459"/>
      <c r="F41" s="459"/>
      <c r="G41" s="595" t="str">
        <f>IF(F41&lt;1," ",D41/(F41-E41))</f>
        <v> </v>
      </c>
      <c r="H41" s="715" t="str">
        <f>IF(SUM(F41:F43)=0," ",AVERAGE(G41:G43))</f>
        <v> </v>
      </c>
      <c r="I41" s="715">
        <f>IF(H41=" ","",100/(((100-(C43*100))/$R$13)+((C43*100)/$R$12)))</f>
      </c>
      <c r="J41" s="718">
        <f>IF(I41="","",(I41-H41)/I41)</f>
      </c>
      <c r="K41" s="721">
        <f>IF(J41="","",100-((H41*(100-(C43*100)))/$L$25))</f>
      </c>
      <c r="L41" s="721">
        <f>IF(K41="","",100*((K41-(J41*100))/K41))</f>
      </c>
      <c r="M41" s="721">
        <f>IF(L41="","",(C43*100)-(($R$14/100)*(100-(C43*100))))</f>
      </c>
      <c r="N41" s="721">
        <f>IF(M41="","",'Grad. &amp; Batching'!$O$36/'Lab Data'!M41)</f>
      </c>
      <c r="O41" s="596"/>
      <c r="P41" s="727">
        <f>IF(SUM(O41:O43)=0,"",AVERAGE(O41:O43))</f>
      </c>
      <c r="Q41" s="724">
        <f>IF(P41="","",INT(AVERAGE(F41:F43)-AVERAGE(E41:E43)))</f>
      </c>
      <c r="R41" s="721">
        <f>IF(Q41="","",VLOOKUP(Q41,B68:C754,2))</f>
      </c>
      <c r="S41" s="727">
        <f>IF(R41="","",P41*R41)</f>
      </c>
      <c r="T41" s="597"/>
      <c r="U41" s="733">
        <f>IF(SUM(T41:T43)=0,"",AVERAGE(T41:T43))</f>
      </c>
    </row>
    <row r="42" spans="2:21" ht="20.25" customHeight="1">
      <c r="B42" s="457" t="s">
        <v>153</v>
      </c>
      <c r="C42" s="460">
        <f>'Grad. &amp; Batching'!Z32</f>
        <v>0.06</v>
      </c>
      <c r="D42" s="459"/>
      <c r="E42" s="459"/>
      <c r="F42" s="459"/>
      <c r="G42" s="595" t="str">
        <f>IF(F42&lt;1," ",D42/(F42-E42))</f>
        <v> </v>
      </c>
      <c r="H42" s="716"/>
      <c r="I42" s="716"/>
      <c r="J42" s="719"/>
      <c r="K42" s="722"/>
      <c r="L42" s="722"/>
      <c r="M42" s="722"/>
      <c r="N42" s="722"/>
      <c r="O42" s="596"/>
      <c r="P42" s="728"/>
      <c r="Q42" s="725"/>
      <c r="R42" s="722"/>
      <c r="S42" s="728"/>
      <c r="T42" s="597"/>
      <c r="U42" s="734"/>
    </row>
    <row r="43" spans="2:21" ht="20.25" customHeight="1">
      <c r="B43" s="457" t="s">
        <v>247</v>
      </c>
      <c r="C43" s="460">
        <f>'Grad. &amp; Batching'!Z32</f>
        <v>0.06</v>
      </c>
      <c r="D43" s="459"/>
      <c r="E43" s="459"/>
      <c r="F43" s="459"/>
      <c r="G43" s="595" t="str">
        <f>IF(F43&lt;1," ",D43/(F43-E43))</f>
        <v> </v>
      </c>
      <c r="H43" s="717"/>
      <c r="I43" s="717"/>
      <c r="J43" s="720"/>
      <c r="K43" s="723"/>
      <c r="L43" s="723"/>
      <c r="M43" s="723"/>
      <c r="N43" s="723"/>
      <c r="O43" s="596"/>
      <c r="P43" s="729"/>
      <c r="Q43" s="726"/>
      <c r="R43" s="723"/>
      <c r="S43" s="729"/>
      <c r="T43" s="597"/>
      <c r="U43" s="735"/>
    </row>
    <row r="44" spans="2:21" ht="20.25" customHeight="1">
      <c r="B44" s="598"/>
      <c r="C44" s="599"/>
      <c r="D44" s="600"/>
      <c r="E44" s="600"/>
      <c r="F44" s="600"/>
      <c r="G44" s="600"/>
      <c r="H44" s="601"/>
      <c r="I44" s="602"/>
      <c r="J44" s="603"/>
      <c r="K44" s="604"/>
      <c r="L44" s="604"/>
      <c r="M44" s="604"/>
      <c r="N44" s="604"/>
      <c r="O44" s="605"/>
      <c r="P44" s="606"/>
      <c r="Q44" s="606"/>
      <c r="R44" s="607"/>
      <c r="S44" s="606"/>
      <c r="T44" s="608"/>
      <c r="U44" s="609"/>
    </row>
    <row r="45" spans="2:21" ht="20.25" customHeight="1">
      <c r="B45" s="457" t="s">
        <v>149</v>
      </c>
      <c r="C45" s="460">
        <f>'Grad. &amp; Batching'!AA32</f>
        <v>0</v>
      </c>
      <c r="D45" s="459"/>
      <c r="E45" s="459"/>
      <c r="F45" s="459"/>
      <c r="G45" s="595" t="str">
        <f>IF(F45&lt;1," ",D45/(F45-E45))</f>
        <v> </v>
      </c>
      <c r="H45" s="715" t="str">
        <f>IF(SUM(F45:F47)=0," ",AVERAGE(G45:G47))</f>
        <v> </v>
      </c>
      <c r="I45" s="715">
        <f>IF(H45=" ","",100/(((100-(C47*100))/$R$13)+((C47*100)/$R$12)))</f>
      </c>
      <c r="J45" s="718">
        <f>IF(I45="","",(I45-H45)/I45)</f>
      </c>
      <c r="K45" s="721">
        <f>IF(J45="","",100-((H45*(100-(C47*100)))/$L$25))</f>
      </c>
      <c r="L45" s="721">
        <f>IF(K45="","",100*((K45-(J45*100))/K45))</f>
      </c>
      <c r="M45" s="721">
        <f>IF(L45="","",(C47*100)-(($R$14/100)*(100-(C47*100))))</f>
      </c>
      <c r="N45" s="721">
        <f>IF(M45="","",'Grad. &amp; Batching'!$O$36/'Lab Data'!M45)</f>
      </c>
      <c r="O45" s="596"/>
      <c r="P45" s="727">
        <f>IF(SUM(O45:O47)=0,"",AVERAGE(O45:O47))</f>
      </c>
      <c r="Q45" s="724">
        <f>IF(P45="","",INT(AVERAGE(F45:F47)-AVERAGE(E45:E47)))</f>
      </c>
      <c r="R45" s="721">
        <f>IF(Q45="","",VLOOKUP(Q45,B72:C758,2))</f>
      </c>
      <c r="S45" s="727">
        <f>IF(R45="","",P45*R45)</f>
      </c>
      <c r="T45" s="597"/>
      <c r="U45" s="733">
        <f>IF(SUM(T45:T47)=0,"",AVERAGE(T45:T47))</f>
      </c>
    </row>
    <row r="46" spans="2:21" ht="20.25" customHeight="1">
      <c r="B46" s="457" t="s">
        <v>150</v>
      </c>
      <c r="C46" s="460">
        <f>'Grad. &amp; Batching'!AA32</f>
        <v>0</v>
      </c>
      <c r="D46" s="459"/>
      <c r="E46" s="459"/>
      <c r="F46" s="459"/>
      <c r="G46" s="595" t="str">
        <f>IF(F46&lt;1," ",D46/(F46-E46))</f>
        <v> </v>
      </c>
      <c r="H46" s="716"/>
      <c r="I46" s="716"/>
      <c r="J46" s="719"/>
      <c r="K46" s="722"/>
      <c r="L46" s="722"/>
      <c r="M46" s="722"/>
      <c r="N46" s="722"/>
      <c r="O46" s="596"/>
      <c r="P46" s="728"/>
      <c r="Q46" s="725"/>
      <c r="R46" s="722"/>
      <c r="S46" s="728"/>
      <c r="T46" s="597"/>
      <c r="U46" s="734"/>
    </row>
    <row r="47" spans="2:21" ht="20.25" customHeight="1">
      <c r="B47" s="457" t="s">
        <v>248</v>
      </c>
      <c r="C47" s="460">
        <f>'Grad. &amp; Batching'!AA32</f>
        <v>0</v>
      </c>
      <c r="D47" s="459"/>
      <c r="E47" s="459"/>
      <c r="F47" s="459"/>
      <c r="G47" s="595" t="str">
        <f>IF(F47&lt;1," ",D47/(F47-E47))</f>
        <v> </v>
      </c>
      <c r="H47" s="717"/>
      <c r="I47" s="717"/>
      <c r="J47" s="720"/>
      <c r="K47" s="723"/>
      <c r="L47" s="723"/>
      <c r="M47" s="723"/>
      <c r="N47" s="723"/>
      <c r="O47" s="596"/>
      <c r="P47" s="729"/>
      <c r="Q47" s="726"/>
      <c r="R47" s="723"/>
      <c r="S47" s="729"/>
      <c r="T47" s="597"/>
      <c r="U47" s="735"/>
    </row>
    <row r="48" spans="2:24" ht="20.25" customHeight="1">
      <c r="B48" s="598"/>
      <c r="C48" s="599"/>
      <c r="D48" s="600"/>
      <c r="E48" s="600"/>
      <c r="F48" s="600"/>
      <c r="G48" s="600"/>
      <c r="H48" s="601"/>
      <c r="I48" s="602"/>
      <c r="J48" s="603"/>
      <c r="K48" s="604"/>
      <c r="L48" s="604"/>
      <c r="M48" s="604"/>
      <c r="N48" s="604"/>
      <c r="O48" s="605"/>
      <c r="P48" s="606"/>
      <c r="Q48" s="606"/>
      <c r="R48" s="607"/>
      <c r="S48" s="606"/>
      <c r="T48" s="608"/>
      <c r="U48" s="616"/>
      <c r="V48" s="415"/>
      <c r="W48" s="415"/>
      <c r="X48" s="415"/>
    </row>
    <row r="49" spans="2:21" ht="20.25">
      <c r="B49" s="457" t="s">
        <v>151</v>
      </c>
      <c r="C49" s="460">
        <f>'Grad. &amp; Batching'!AB32</f>
        <v>0</v>
      </c>
      <c r="D49" s="459"/>
      <c r="E49" s="459"/>
      <c r="F49" s="459"/>
      <c r="G49" s="595" t="str">
        <f>IF(F49&lt;1," ",D49/(F49-E49))</f>
        <v> </v>
      </c>
      <c r="H49" s="715" t="str">
        <f>IF(SUM(F49:F51)=0," ",AVERAGE(G49:G51))</f>
        <v> </v>
      </c>
      <c r="I49" s="715">
        <f>IF(H49=" ","",100/(((100-(C51*100))/$R$13)+((C51*100)/$R$12)))</f>
      </c>
      <c r="J49" s="718">
        <f>IF(I49="","",(I49-H49)/I49)</f>
      </c>
      <c r="K49" s="721">
        <f>IF(J49="","",100-((H49*(100-(C51*100)))/$L$25))</f>
      </c>
      <c r="L49" s="721">
        <f>IF(K49="","",100*((K49-(J49*100))/K49))</f>
      </c>
      <c r="M49" s="721">
        <f>IF(L49="","",(C51*100)-(($R$14/100)*(100-(C51*100))))</f>
      </c>
      <c r="N49" s="721">
        <f>IF(M49="","",'Grad. &amp; Batching'!$O$36/'Lab Data'!M49)</f>
      </c>
      <c r="O49" s="596"/>
      <c r="P49" s="727">
        <f>IF(SUM(O49:O51)=0,"",AVERAGE(O49:O51))</f>
      </c>
      <c r="Q49" s="724">
        <f>IF(P49="","",INT(AVERAGE(F49:F51)-AVERAGE(E49:E51)))</f>
      </c>
      <c r="R49" s="721">
        <f>IF(Q49="","",VLOOKUP(Q49,B76:C762,2))</f>
      </c>
      <c r="S49" s="727">
        <f>IF(R49="","",P49*R49)</f>
      </c>
      <c r="T49" s="597"/>
      <c r="U49" s="730">
        <f>IF(SUM(T49:T51)=0,"",AVERAGE(T49:T51))</f>
      </c>
    </row>
    <row r="50" spans="2:21" ht="20.25">
      <c r="B50" s="457" t="s">
        <v>152</v>
      </c>
      <c r="C50" s="460">
        <f>'Grad. &amp; Batching'!AB32</f>
        <v>0</v>
      </c>
      <c r="D50" s="459"/>
      <c r="E50" s="459"/>
      <c r="F50" s="459"/>
      <c r="G50" s="595" t="str">
        <f>IF(F50&lt;1," ",D50/(F50-E50))</f>
        <v> </v>
      </c>
      <c r="H50" s="716"/>
      <c r="I50" s="716"/>
      <c r="J50" s="719"/>
      <c r="K50" s="722"/>
      <c r="L50" s="722"/>
      <c r="M50" s="722"/>
      <c r="N50" s="722"/>
      <c r="O50" s="596"/>
      <c r="P50" s="728"/>
      <c r="Q50" s="725"/>
      <c r="R50" s="722"/>
      <c r="S50" s="728"/>
      <c r="T50" s="597"/>
      <c r="U50" s="731"/>
    </row>
    <row r="51" spans="2:21" ht="20.25">
      <c r="B51" s="457" t="s">
        <v>249</v>
      </c>
      <c r="C51" s="460">
        <f>'Grad. &amp; Batching'!AB32</f>
        <v>0</v>
      </c>
      <c r="D51" s="459"/>
      <c r="E51" s="459"/>
      <c r="F51" s="459"/>
      <c r="G51" s="595" t="str">
        <f>IF(F51&lt;1," ",D51/(F51-E51))</f>
        <v> </v>
      </c>
      <c r="H51" s="717"/>
      <c r="I51" s="717"/>
      <c r="J51" s="720"/>
      <c r="K51" s="723"/>
      <c r="L51" s="723"/>
      <c r="M51" s="723"/>
      <c r="N51" s="723"/>
      <c r="O51" s="596"/>
      <c r="P51" s="729"/>
      <c r="Q51" s="726"/>
      <c r="R51" s="723"/>
      <c r="S51" s="729"/>
      <c r="T51" s="597"/>
      <c r="U51" s="732"/>
    </row>
    <row r="52" spans="2:21" ht="21" thickBot="1">
      <c r="B52" s="617"/>
      <c r="C52" s="618"/>
      <c r="D52" s="619"/>
      <c r="E52" s="619"/>
      <c r="F52" s="619"/>
      <c r="G52" s="619"/>
      <c r="H52" s="620"/>
      <c r="I52" s="620"/>
      <c r="J52" s="621"/>
      <c r="K52" s="620"/>
      <c r="L52" s="620"/>
      <c r="M52" s="620"/>
      <c r="N52" s="620"/>
      <c r="O52" s="622"/>
      <c r="P52" s="622"/>
      <c r="Q52" s="622"/>
      <c r="R52" s="622"/>
      <c r="S52" s="622"/>
      <c r="T52" s="623"/>
      <c r="U52" s="624"/>
    </row>
    <row r="55" spans="11:15" ht="15.75">
      <c r="K55" s="461"/>
      <c r="N55" s="461" t="s">
        <v>277</v>
      </c>
      <c r="O55" s="462">
        <f>C37-C33</f>
        <v>0.0049999999999999975</v>
      </c>
    </row>
    <row r="56" spans="10:19" ht="15.75">
      <c r="J56" s="461" t="s">
        <v>273</v>
      </c>
      <c r="K56" s="461" t="s">
        <v>274</v>
      </c>
      <c r="R56" s="461" t="s">
        <v>273</v>
      </c>
      <c r="S56" s="461" t="s">
        <v>274</v>
      </c>
    </row>
    <row r="57" spans="10:19" ht="15.75">
      <c r="J57" s="463">
        <f>C49</f>
        <v>0</v>
      </c>
      <c r="K57" s="464">
        <f>J49</f>
      </c>
      <c r="P57" s="461" t="s">
        <v>278</v>
      </c>
      <c r="R57" s="463">
        <f>C33</f>
        <v>0.05</v>
      </c>
      <c r="S57" s="464">
        <f>J33</f>
      </c>
    </row>
    <row r="58" spans="10:19" ht="15.75">
      <c r="J58" s="463">
        <f>C45</f>
        <v>0</v>
      </c>
      <c r="K58" s="464">
        <f>J45</f>
      </c>
      <c r="N58" s="461" t="s">
        <v>275</v>
      </c>
      <c r="O58" s="465" t="e">
        <f>LOOKUP('Vol. Analysis'!E63,K57:K61,J57:J61)</f>
        <v>#N/A</v>
      </c>
      <c r="P58" s="465" t="e">
        <f>LOOKUP(O58,R57:R61,S57:S61)</f>
        <v>#N/A</v>
      </c>
      <c r="R58" s="463">
        <f>C37</f>
        <v>0.055</v>
      </c>
      <c r="S58" s="464">
        <f>J37</f>
      </c>
    </row>
    <row r="59" spans="10:19" ht="15.75">
      <c r="J59" s="463">
        <f>C41</f>
        <v>0.06</v>
      </c>
      <c r="K59" s="464">
        <f>J41</f>
      </c>
      <c r="N59" s="461" t="s">
        <v>276</v>
      </c>
      <c r="O59" s="466" t="e">
        <f>O58-O55</f>
        <v>#N/A</v>
      </c>
      <c r="P59" s="467" t="e">
        <f>LOOKUP(O59,R57:R61,S57:S61)</f>
        <v>#N/A</v>
      </c>
      <c r="R59" s="463">
        <f>C41</f>
        <v>0.06</v>
      </c>
      <c r="S59" s="464">
        <f>J41</f>
      </c>
    </row>
    <row r="60" spans="2:19" ht="15.75">
      <c r="B60" s="311">
        <v>200</v>
      </c>
      <c r="C60" s="311">
        <v>5.56</v>
      </c>
      <c r="J60" s="463">
        <f>C37</f>
        <v>0.055</v>
      </c>
      <c r="K60" s="464">
        <f>J37</f>
      </c>
      <c r="P60" s="465" t="e">
        <f>P59-P58</f>
        <v>#N/A</v>
      </c>
      <c r="R60" s="463">
        <f>C45</f>
        <v>0</v>
      </c>
      <c r="S60" s="464">
        <f>J45</f>
      </c>
    </row>
    <row r="61" spans="2:19" ht="15.75">
      <c r="B61" s="311">
        <v>201</v>
      </c>
      <c r="C61" s="311">
        <v>5.56</v>
      </c>
      <c r="J61" s="463">
        <f>C33</f>
        <v>0.05</v>
      </c>
      <c r="K61" s="464">
        <f>J33</f>
      </c>
      <c r="R61" s="463">
        <f>C49</f>
        <v>0</v>
      </c>
      <c r="S61" s="464">
        <f>J49</f>
      </c>
    </row>
    <row r="62" spans="2:11" ht="15.75">
      <c r="B62" s="311">
        <v>202</v>
      </c>
      <c r="C62" s="311">
        <v>5.56</v>
      </c>
      <c r="K62" s="468"/>
    </row>
    <row r="63" spans="2:3" ht="15.75">
      <c r="B63" s="311">
        <v>203</v>
      </c>
      <c r="C63" s="311">
        <v>5.56</v>
      </c>
    </row>
    <row r="64" spans="2:3" ht="15.75">
      <c r="B64" s="311">
        <v>204</v>
      </c>
      <c r="C64" s="311">
        <v>5.56</v>
      </c>
    </row>
    <row r="65" spans="2:3" ht="15.75">
      <c r="B65" s="311">
        <v>205</v>
      </c>
      <c r="C65" s="311">
        <v>5.56</v>
      </c>
    </row>
    <row r="66" spans="2:3" ht="15.75">
      <c r="B66" s="311">
        <v>206</v>
      </c>
      <c r="C66" s="311">
        <v>5.56</v>
      </c>
    </row>
    <row r="67" spans="2:3" ht="15.75">
      <c r="B67" s="311">
        <v>207</v>
      </c>
      <c r="C67" s="311">
        <v>5.56</v>
      </c>
    </row>
    <row r="68" spans="2:3" ht="15.75">
      <c r="B68" s="311">
        <v>208</v>
      </c>
      <c r="C68" s="311">
        <v>5.56</v>
      </c>
    </row>
    <row r="69" spans="2:3" ht="15.75">
      <c r="B69" s="311">
        <v>209</v>
      </c>
      <c r="C69" s="311">
        <v>5.56</v>
      </c>
    </row>
    <row r="70" spans="2:3" ht="15.75">
      <c r="B70" s="311">
        <v>210</v>
      </c>
      <c r="C70" s="311">
        <v>5.56</v>
      </c>
    </row>
    <row r="71" spans="2:3" ht="15.75">
      <c r="B71" s="311">
        <v>211</v>
      </c>
      <c r="C71" s="311">
        <v>5.56</v>
      </c>
    </row>
    <row r="72" spans="2:3" ht="15.75">
      <c r="B72" s="311">
        <v>212</v>
      </c>
      <c r="C72" s="311">
        <v>5.56</v>
      </c>
    </row>
    <row r="73" spans="2:3" ht="15.75">
      <c r="B73" s="311">
        <v>213</v>
      </c>
      <c r="C73" s="311">
        <v>5.56</v>
      </c>
    </row>
    <row r="74" spans="2:3" ht="15.75">
      <c r="B74" s="311">
        <v>214</v>
      </c>
      <c r="C74" s="311">
        <v>5</v>
      </c>
    </row>
    <row r="75" spans="2:3" ht="15.75">
      <c r="B75" s="311">
        <v>215</v>
      </c>
      <c r="C75" s="311">
        <v>5</v>
      </c>
    </row>
    <row r="76" spans="2:3" ht="15.75">
      <c r="B76" s="311">
        <v>216</v>
      </c>
      <c r="C76" s="311">
        <v>5</v>
      </c>
    </row>
    <row r="77" spans="2:3" ht="15.75">
      <c r="B77" s="311">
        <v>217</v>
      </c>
      <c r="C77" s="311">
        <v>5</v>
      </c>
    </row>
    <row r="78" spans="2:3" ht="15.75">
      <c r="B78" s="311">
        <v>218</v>
      </c>
      <c r="C78" s="311">
        <v>5</v>
      </c>
    </row>
    <row r="79" spans="2:3" ht="15.75">
      <c r="B79" s="311">
        <v>219</v>
      </c>
      <c r="C79" s="311">
        <v>5</v>
      </c>
    </row>
    <row r="80" spans="2:3" ht="15.75">
      <c r="B80" s="311">
        <v>220</v>
      </c>
      <c r="C80" s="311">
        <v>5</v>
      </c>
    </row>
    <row r="81" spans="2:3" ht="15.75">
      <c r="B81" s="311">
        <v>221</v>
      </c>
      <c r="C81" s="311">
        <v>5</v>
      </c>
    </row>
    <row r="82" spans="2:3" ht="15.75">
      <c r="B82" s="311">
        <v>222</v>
      </c>
      <c r="C82" s="311">
        <v>5</v>
      </c>
    </row>
    <row r="83" spans="2:7" ht="15.75">
      <c r="B83" s="311">
        <v>223</v>
      </c>
      <c r="C83" s="311">
        <v>5</v>
      </c>
      <c r="F83" s="466">
        <f>'Vol. Analysis'!$E$63</f>
        <v>0.04</v>
      </c>
      <c r="G83" s="466" t="e">
        <f>'Vol. Analysis'!$E$64</f>
        <v>#N/A</v>
      </c>
    </row>
    <row r="84" spans="2:7" ht="15.75">
      <c r="B84" s="311">
        <v>224</v>
      </c>
      <c r="C84" s="311">
        <v>5</v>
      </c>
      <c r="F84" s="466">
        <f>'Vol. Analysis'!$E$63</f>
        <v>0.04</v>
      </c>
      <c r="G84" s="466" t="e">
        <f>'Vol. Analysis'!$E$64</f>
        <v>#N/A</v>
      </c>
    </row>
    <row r="85" spans="2:7" ht="15.75">
      <c r="B85" s="311">
        <v>225</v>
      </c>
      <c r="C85" s="311">
        <v>5</v>
      </c>
      <c r="F85" s="466">
        <f>'Vol. Analysis'!$E$63</f>
        <v>0.04</v>
      </c>
      <c r="G85" s="466" t="e">
        <f>'Vol. Analysis'!$E$64</f>
        <v>#N/A</v>
      </c>
    </row>
    <row r="86" spans="2:7" ht="15.75">
      <c r="B86" s="311">
        <v>226</v>
      </c>
      <c r="C86" s="311">
        <v>4.55</v>
      </c>
      <c r="F86" s="466">
        <f>'Vol. Analysis'!$E$63</f>
        <v>0.04</v>
      </c>
      <c r="G86" s="466" t="e">
        <f>'Vol. Analysis'!$E$64</f>
        <v>#N/A</v>
      </c>
    </row>
    <row r="87" spans="2:7" ht="15.75">
      <c r="B87" s="311">
        <v>227</v>
      </c>
      <c r="C87" s="311">
        <v>4.55</v>
      </c>
      <c r="F87" s="466">
        <f>'Vol. Analysis'!$E$63</f>
        <v>0.04</v>
      </c>
      <c r="G87" s="466" t="e">
        <f>'Vol. Analysis'!$E$64</f>
        <v>#N/A</v>
      </c>
    </row>
    <row r="88" spans="2:6" ht="15.75">
      <c r="B88" s="311">
        <v>228</v>
      </c>
      <c r="C88" s="311">
        <v>4.55</v>
      </c>
      <c r="F88" s="466"/>
    </row>
    <row r="89" spans="2:6" ht="15.75">
      <c r="B89" s="311">
        <v>229</v>
      </c>
      <c r="C89" s="311">
        <v>4.55</v>
      </c>
      <c r="F89" s="466"/>
    </row>
    <row r="90" spans="2:6" ht="15.75">
      <c r="B90" s="311">
        <v>230</v>
      </c>
      <c r="C90" s="311">
        <v>4.55</v>
      </c>
      <c r="F90" s="466"/>
    </row>
    <row r="91" spans="2:3" ht="15.75">
      <c r="B91" s="311">
        <v>231</v>
      </c>
      <c r="C91" s="311">
        <v>4.55</v>
      </c>
    </row>
    <row r="92" spans="2:3" ht="15.75">
      <c r="B92" s="311">
        <v>232</v>
      </c>
      <c r="C92" s="311">
        <v>4.55</v>
      </c>
    </row>
    <row r="93" spans="2:3" ht="15.75">
      <c r="B93" s="311">
        <v>233</v>
      </c>
      <c r="C93" s="311">
        <v>4.55</v>
      </c>
    </row>
    <row r="94" spans="2:3" ht="15.75">
      <c r="B94" s="311">
        <v>234</v>
      </c>
      <c r="C94" s="311">
        <v>4.55</v>
      </c>
    </row>
    <row r="95" spans="2:3" ht="15.75">
      <c r="B95" s="311">
        <v>235</v>
      </c>
      <c r="C95" s="311">
        <v>4.55</v>
      </c>
    </row>
    <row r="96" spans="2:3" ht="15.75">
      <c r="B96" s="311">
        <v>236</v>
      </c>
      <c r="C96" s="311">
        <v>4.55</v>
      </c>
    </row>
    <row r="97" spans="2:3" ht="15.75">
      <c r="B97" s="311">
        <v>237</v>
      </c>
      <c r="C97" s="311">
        <v>4.55</v>
      </c>
    </row>
    <row r="98" spans="2:3" ht="15.75">
      <c r="B98" s="311">
        <v>238</v>
      </c>
      <c r="C98" s="311">
        <v>4.17</v>
      </c>
    </row>
    <row r="99" spans="2:3" ht="15.75">
      <c r="B99" s="311">
        <v>239</v>
      </c>
      <c r="C99" s="311">
        <v>4.17</v>
      </c>
    </row>
    <row r="100" spans="2:3" ht="15.75">
      <c r="B100" s="311">
        <v>240</v>
      </c>
      <c r="C100" s="311">
        <v>4.17</v>
      </c>
    </row>
    <row r="101" spans="2:3" ht="15.75">
      <c r="B101" s="311">
        <v>241</v>
      </c>
      <c r="C101" s="311">
        <v>4.17</v>
      </c>
    </row>
    <row r="102" spans="2:3" ht="15.75">
      <c r="B102" s="311">
        <v>242</v>
      </c>
      <c r="C102" s="311">
        <v>4.17</v>
      </c>
    </row>
    <row r="103" spans="2:3" ht="15.75">
      <c r="B103" s="311">
        <v>243</v>
      </c>
      <c r="C103" s="311">
        <v>4.17</v>
      </c>
    </row>
    <row r="104" spans="2:3" ht="15.75">
      <c r="B104" s="311">
        <v>244</v>
      </c>
      <c r="C104" s="311">
        <v>4.17</v>
      </c>
    </row>
    <row r="105" spans="2:3" ht="15.75">
      <c r="B105" s="311">
        <v>245</v>
      </c>
      <c r="C105" s="311">
        <v>4.17</v>
      </c>
    </row>
    <row r="106" spans="2:3" ht="15.75">
      <c r="B106" s="311">
        <v>246</v>
      </c>
      <c r="C106" s="311">
        <v>4.17</v>
      </c>
    </row>
    <row r="107" spans="2:3" ht="15.75">
      <c r="B107" s="311">
        <v>247</v>
      </c>
      <c r="C107" s="311">
        <v>4.17</v>
      </c>
    </row>
    <row r="108" spans="2:3" ht="15.75">
      <c r="B108" s="311">
        <v>248</v>
      </c>
      <c r="C108" s="311">
        <v>4.17</v>
      </c>
    </row>
    <row r="109" spans="2:3" ht="15.75">
      <c r="B109" s="311">
        <v>249</v>
      </c>
      <c r="C109" s="311">
        <v>4.17</v>
      </c>
    </row>
    <row r="110" spans="2:3" ht="15.75">
      <c r="B110" s="311">
        <v>250</v>
      </c>
      <c r="C110" s="311">
        <v>4.17</v>
      </c>
    </row>
    <row r="111" spans="2:3" ht="15.75">
      <c r="B111" s="311">
        <v>251</v>
      </c>
      <c r="C111" s="311">
        <v>3.85</v>
      </c>
    </row>
    <row r="112" spans="2:3" ht="15.75">
      <c r="B112" s="311">
        <v>252</v>
      </c>
      <c r="C112" s="311">
        <v>3.85</v>
      </c>
    </row>
    <row r="113" spans="2:3" ht="15.75">
      <c r="B113" s="311">
        <v>253</v>
      </c>
      <c r="C113" s="311">
        <v>3.85</v>
      </c>
    </row>
    <row r="114" spans="2:3" ht="15.75">
      <c r="B114" s="311">
        <v>254</v>
      </c>
      <c r="C114" s="311">
        <v>3.85</v>
      </c>
    </row>
    <row r="115" spans="2:3" ht="15.75">
      <c r="B115" s="311">
        <v>255</v>
      </c>
      <c r="C115" s="311">
        <v>3.85</v>
      </c>
    </row>
    <row r="116" spans="2:3" ht="15.75">
      <c r="B116" s="311">
        <v>256</v>
      </c>
      <c r="C116" s="311">
        <v>3.85</v>
      </c>
    </row>
    <row r="117" spans="2:3" ht="15.75">
      <c r="B117" s="311">
        <v>257</v>
      </c>
      <c r="C117" s="311">
        <v>3.85</v>
      </c>
    </row>
    <row r="118" spans="2:3" ht="15.75">
      <c r="B118" s="311">
        <v>258</v>
      </c>
      <c r="C118" s="311">
        <v>3.85</v>
      </c>
    </row>
    <row r="119" spans="2:3" ht="15.75">
      <c r="B119" s="311">
        <v>259</v>
      </c>
      <c r="C119" s="311">
        <v>3.85</v>
      </c>
    </row>
    <row r="120" spans="2:3" ht="15.75">
      <c r="B120" s="311">
        <v>260</v>
      </c>
      <c r="C120" s="311">
        <v>3.85</v>
      </c>
    </row>
    <row r="121" spans="2:3" ht="15.75">
      <c r="B121" s="311">
        <v>261</v>
      </c>
      <c r="C121" s="311">
        <v>3.85</v>
      </c>
    </row>
    <row r="122" spans="2:3" ht="15.75">
      <c r="B122" s="311">
        <v>262</v>
      </c>
      <c r="C122" s="311">
        <v>3.85</v>
      </c>
    </row>
    <row r="123" spans="2:3" ht="15.75">
      <c r="B123" s="311">
        <v>263</v>
      </c>
      <c r="C123" s="311">
        <v>3.85</v>
      </c>
    </row>
    <row r="124" spans="2:3" ht="15.75">
      <c r="B124" s="311">
        <v>264</v>
      </c>
      <c r="C124" s="311">
        <v>3.85</v>
      </c>
    </row>
    <row r="125" spans="2:3" ht="15.75">
      <c r="B125" s="311">
        <v>265</v>
      </c>
      <c r="C125" s="311">
        <v>3.57</v>
      </c>
    </row>
    <row r="126" spans="2:3" ht="15.75">
      <c r="B126" s="311">
        <v>266</v>
      </c>
      <c r="C126" s="311">
        <v>3.57</v>
      </c>
    </row>
    <row r="127" spans="2:3" ht="15.75">
      <c r="B127" s="311">
        <v>267</v>
      </c>
      <c r="C127" s="311">
        <v>3.57</v>
      </c>
    </row>
    <row r="128" spans="2:3" ht="15.75">
      <c r="B128" s="311">
        <v>268</v>
      </c>
      <c r="C128" s="311">
        <v>3.57</v>
      </c>
    </row>
    <row r="129" spans="2:3" ht="15.75">
      <c r="B129" s="311">
        <v>269</v>
      </c>
      <c r="C129" s="311">
        <v>3.57</v>
      </c>
    </row>
    <row r="130" spans="2:3" ht="15.75">
      <c r="B130" s="311">
        <v>270</v>
      </c>
      <c r="C130" s="311">
        <v>3.57</v>
      </c>
    </row>
    <row r="131" spans="2:3" ht="15.75">
      <c r="B131" s="311">
        <v>271</v>
      </c>
      <c r="C131" s="311">
        <v>3.57</v>
      </c>
    </row>
    <row r="132" spans="2:3" ht="15.75">
      <c r="B132" s="311">
        <v>272</v>
      </c>
      <c r="C132" s="311">
        <v>3.57</v>
      </c>
    </row>
    <row r="133" spans="2:3" ht="15.75">
      <c r="B133" s="311">
        <v>273</v>
      </c>
      <c r="C133" s="311">
        <v>3.57</v>
      </c>
    </row>
    <row r="134" spans="2:3" ht="15.75">
      <c r="B134" s="311">
        <v>274</v>
      </c>
      <c r="C134" s="311">
        <v>3.57</v>
      </c>
    </row>
    <row r="135" spans="2:3" ht="15.75">
      <c r="B135" s="311">
        <v>275</v>
      </c>
      <c r="C135" s="311">
        <v>3.57</v>
      </c>
    </row>
    <row r="136" spans="2:3" ht="15.75">
      <c r="B136" s="311">
        <v>276</v>
      </c>
      <c r="C136" s="311">
        <v>3.57</v>
      </c>
    </row>
    <row r="137" spans="2:3" ht="15.75">
      <c r="B137" s="311">
        <v>277</v>
      </c>
      <c r="C137" s="311">
        <v>3.33</v>
      </c>
    </row>
    <row r="138" spans="2:3" ht="15.75">
      <c r="B138" s="311">
        <v>278</v>
      </c>
      <c r="C138" s="311">
        <v>3.33</v>
      </c>
    </row>
    <row r="139" spans="2:3" ht="15.75">
      <c r="B139" s="311">
        <v>279</v>
      </c>
      <c r="C139" s="311">
        <v>3.33</v>
      </c>
    </row>
    <row r="140" spans="2:3" ht="15.75">
      <c r="B140" s="311">
        <v>280</v>
      </c>
      <c r="C140" s="311">
        <v>3.33</v>
      </c>
    </row>
    <row r="141" spans="2:3" ht="15.75">
      <c r="B141" s="311">
        <v>281</v>
      </c>
      <c r="C141" s="311">
        <v>3.33</v>
      </c>
    </row>
    <row r="142" spans="2:3" ht="15.75">
      <c r="B142" s="311">
        <v>282</v>
      </c>
      <c r="C142" s="311">
        <v>3.33</v>
      </c>
    </row>
    <row r="143" spans="2:3" ht="15.75">
      <c r="B143" s="311">
        <v>283</v>
      </c>
      <c r="C143" s="311">
        <v>3.33</v>
      </c>
    </row>
    <row r="144" spans="2:3" ht="15.75">
      <c r="B144" s="311">
        <v>284</v>
      </c>
      <c r="C144" s="311">
        <v>3.33</v>
      </c>
    </row>
    <row r="145" spans="2:3" ht="15.75">
      <c r="B145" s="311">
        <v>285</v>
      </c>
      <c r="C145" s="311">
        <v>3.33</v>
      </c>
    </row>
    <row r="146" spans="2:3" ht="15.75">
      <c r="B146" s="311">
        <v>286</v>
      </c>
      <c r="C146" s="311">
        <v>3.33</v>
      </c>
    </row>
    <row r="147" spans="2:3" ht="15.75">
      <c r="B147" s="311">
        <v>287</v>
      </c>
      <c r="C147" s="311">
        <v>3.33</v>
      </c>
    </row>
    <row r="148" spans="2:3" ht="15.75">
      <c r="B148" s="311">
        <v>288</v>
      </c>
      <c r="C148" s="311">
        <v>3.33</v>
      </c>
    </row>
    <row r="149" spans="2:3" ht="15.75">
      <c r="B149" s="311">
        <v>289</v>
      </c>
      <c r="C149" s="311">
        <v>3.33</v>
      </c>
    </row>
    <row r="150" spans="2:3" ht="15.75">
      <c r="B150" s="311">
        <v>290</v>
      </c>
      <c r="C150" s="311">
        <v>3.03</v>
      </c>
    </row>
    <row r="151" spans="2:3" ht="15.75">
      <c r="B151" s="311">
        <v>291</v>
      </c>
      <c r="C151" s="311">
        <v>3.03</v>
      </c>
    </row>
    <row r="152" spans="2:3" ht="15.75">
      <c r="B152" s="311">
        <v>292</v>
      </c>
      <c r="C152" s="311">
        <v>3.03</v>
      </c>
    </row>
    <row r="153" spans="2:3" ht="15.75">
      <c r="B153" s="311">
        <v>293</v>
      </c>
      <c r="C153" s="311">
        <v>3.03</v>
      </c>
    </row>
    <row r="154" spans="2:3" ht="15.75">
      <c r="B154" s="311">
        <v>294</v>
      </c>
      <c r="C154" s="311">
        <v>3.03</v>
      </c>
    </row>
    <row r="155" spans="2:3" ht="15.75">
      <c r="B155" s="311">
        <v>295</v>
      </c>
      <c r="C155" s="311">
        <v>3.03</v>
      </c>
    </row>
    <row r="156" spans="2:3" ht="15.75">
      <c r="B156" s="311">
        <v>296</v>
      </c>
      <c r="C156" s="311">
        <v>3.03</v>
      </c>
    </row>
    <row r="157" spans="2:3" ht="15.75">
      <c r="B157" s="311">
        <v>297</v>
      </c>
      <c r="C157" s="311">
        <v>3.03</v>
      </c>
    </row>
    <row r="158" spans="2:3" ht="15.75">
      <c r="B158" s="311">
        <v>298</v>
      </c>
      <c r="C158" s="311">
        <v>3.03</v>
      </c>
    </row>
    <row r="159" spans="2:3" ht="15.75">
      <c r="B159" s="311">
        <v>299</v>
      </c>
      <c r="C159" s="311">
        <v>3.03</v>
      </c>
    </row>
    <row r="160" spans="2:3" ht="15.75">
      <c r="B160" s="311">
        <v>300</v>
      </c>
      <c r="C160" s="311">
        <v>3.03</v>
      </c>
    </row>
    <row r="161" spans="2:3" ht="15.75">
      <c r="B161" s="311">
        <v>301</v>
      </c>
      <c r="C161" s="311">
        <v>3.03</v>
      </c>
    </row>
    <row r="162" spans="2:3" ht="15.75">
      <c r="B162" s="311">
        <v>302</v>
      </c>
      <c r="C162" s="311">
        <v>2.78</v>
      </c>
    </row>
    <row r="163" spans="2:3" ht="15.75">
      <c r="B163" s="311">
        <v>303</v>
      </c>
      <c r="C163" s="311">
        <v>2.78</v>
      </c>
    </row>
    <row r="164" spans="2:3" ht="15.75">
      <c r="B164" s="311">
        <v>304</v>
      </c>
      <c r="C164" s="311">
        <v>2.78</v>
      </c>
    </row>
    <row r="165" spans="2:3" ht="15.75">
      <c r="B165" s="311">
        <v>305</v>
      </c>
      <c r="C165" s="311">
        <v>2.78</v>
      </c>
    </row>
    <row r="166" spans="2:3" ht="15.75">
      <c r="B166" s="311">
        <v>306</v>
      </c>
      <c r="C166" s="311">
        <v>2.78</v>
      </c>
    </row>
    <row r="167" spans="2:3" ht="15.75">
      <c r="B167" s="311">
        <v>307</v>
      </c>
      <c r="C167" s="311">
        <v>2.78</v>
      </c>
    </row>
    <row r="168" spans="2:3" ht="15.75">
      <c r="B168" s="311">
        <v>308</v>
      </c>
      <c r="C168" s="311">
        <v>2.78</v>
      </c>
    </row>
    <row r="169" spans="2:3" ht="15.75">
      <c r="B169" s="311">
        <v>309</v>
      </c>
      <c r="C169" s="311">
        <v>2.78</v>
      </c>
    </row>
    <row r="170" spans="2:3" ht="15.75">
      <c r="B170" s="311">
        <v>310</v>
      </c>
      <c r="C170" s="311">
        <v>2.78</v>
      </c>
    </row>
    <row r="171" spans="2:3" ht="15.75">
      <c r="B171" s="311">
        <v>311</v>
      </c>
      <c r="C171" s="311">
        <v>2.78</v>
      </c>
    </row>
    <row r="172" spans="2:3" ht="15.75">
      <c r="B172" s="311">
        <v>312</v>
      </c>
      <c r="C172" s="311">
        <v>2.78</v>
      </c>
    </row>
    <row r="173" spans="2:3" ht="15.75">
      <c r="B173" s="311">
        <v>313</v>
      </c>
      <c r="C173" s="311">
        <v>2.78</v>
      </c>
    </row>
    <row r="174" spans="2:3" ht="15.75">
      <c r="B174" s="311">
        <v>314</v>
      </c>
      <c r="C174" s="311">
        <v>2.78</v>
      </c>
    </row>
    <row r="175" spans="2:3" ht="15.75">
      <c r="B175" s="311">
        <v>315</v>
      </c>
      <c r="C175" s="311">
        <v>2.78</v>
      </c>
    </row>
    <row r="176" spans="2:3" ht="15.75">
      <c r="B176" s="311">
        <v>316</v>
      </c>
      <c r="C176" s="311">
        <v>2.78</v>
      </c>
    </row>
    <row r="177" spans="2:3" ht="15.75">
      <c r="B177" s="311">
        <v>317</v>
      </c>
      <c r="C177" s="311">
        <v>2.5</v>
      </c>
    </row>
    <row r="178" spans="2:3" ht="15.75">
      <c r="B178" s="311">
        <v>318</v>
      </c>
      <c r="C178" s="311">
        <v>2.5</v>
      </c>
    </row>
    <row r="179" spans="2:3" ht="15.75">
      <c r="B179" s="311">
        <v>319</v>
      </c>
      <c r="C179" s="311">
        <v>2.5</v>
      </c>
    </row>
    <row r="180" spans="2:3" ht="15.75">
      <c r="B180" s="311">
        <v>320</v>
      </c>
      <c r="C180" s="311">
        <v>2.5</v>
      </c>
    </row>
    <row r="181" spans="2:3" ht="15.75">
      <c r="B181" s="311">
        <v>321</v>
      </c>
      <c r="C181" s="311">
        <v>2.5</v>
      </c>
    </row>
    <row r="182" spans="2:3" ht="15.75">
      <c r="B182" s="311">
        <v>322</v>
      </c>
      <c r="C182" s="311">
        <v>2.5</v>
      </c>
    </row>
    <row r="183" spans="2:3" ht="15.75">
      <c r="B183" s="311">
        <v>323</v>
      </c>
      <c r="C183" s="311">
        <v>2.5</v>
      </c>
    </row>
    <row r="184" spans="2:3" ht="15.75">
      <c r="B184" s="311">
        <v>324</v>
      </c>
      <c r="C184" s="311">
        <v>2.5</v>
      </c>
    </row>
    <row r="185" spans="2:3" ht="15.75">
      <c r="B185" s="311">
        <v>325</v>
      </c>
      <c r="C185" s="311">
        <v>2.5</v>
      </c>
    </row>
    <row r="186" spans="2:3" ht="15.75">
      <c r="B186" s="311">
        <v>326</v>
      </c>
      <c r="C186" s="311">
        <v>2.5</v>
      </c>
    </row>
    <row r="187" spans="2:3" ht="15.75">
      <c r="B187" s="311">
        <v>327</v>
      </c>
      <c r="C187" s="311">
        <v>2.5</v>
      </c>
    </row>
    <row r="188" spans="2:3" ht="15.75">
      <c r="B188" s="311">
        <v>328</v>
      </c>
      <c r="C188" s="311">
        <v>2.5</v>
      </c>
    </row>
    <row r="189" spans="2:3" ht="15.75">
      <c r="B189" s="311">
        <v>329</v>
      </c>
      <c r="C189" s="311">
        <v>2.27</v>
      </c>
    </row>
    <row r="190" spans="2:3" ht="15.75">
      <c r="B190" s="311">
        <v>330</v>
      </c>
      <c r="C190" s="311">
        <v>2.27</v>
      </c>
    </row>
    <row r="191" spans="2:3" ht="15.75">
      <c r="B191" s="311">
        <v>331</v>
      </c>
      <c r="C191" s="311">
        <v>2.27</v>
      </c>
    </row>
    <row r="192" spans="2:3" ht="15.75">
      <c r="B192" s="311">
        <v>332</v>
      </c>
      <c r="C192" s="311">
        <v>2.27</v>
      </c>
    </row>
    <row r="193" spans="2:3" ht="15.75">
      <c r="B193" s="311">
        <v>333</v>
      </c>
      <c r="C193" s="311">
        <v>2.27</v>
      </c>
    </row>
    <row r="194" spans="2:3" ht="15.75">
      <c r="B194" s="311">
        <v>334</v>
      </c>
      <c r="C194" s="311">
        <v>2.27</v>
      </c>
    </row>
    <row r="195" spans="2:3" ht="15.75">
      <c r="B195" s="311">
        <v>335</v>
      </c>
      <c r="C195" s="311">
        <v>2.27</v>
      </c>
    </row>
    <row r="196" spans="2:3" ht="15.75">
      <c r="B196" s="311">
        <v>336</v>
      </c>
      <c r="C196" s="311">
        <v>2.27</v>
      </c>
    </row>
    <row r="197" spans="2:3" ht="15.75">
      <c r="B197" s="311">
        <v>337</v>
      </c>
      <c r="C197" s="311">
        <v>2.27</v>
      </c>
    </row>
    <row r="198" spans="2:3" ht="15.75">
      <c r="B198" s="311">
        <v>338</v>
      </c>
      <c r="C198" s="311">
        <v>2.27</v>
      </c>
    </row>
    <row r="199" spans="2:3" ht="15.75">
      <c r="B199" s="311">
        <v>339</v>
      </c>
      <c r="C199" s="311">
        <v>2.27</v>
      </c>
    </row>
    <row r="200" spans="2:3" ht="15.75">
      <c r="B200" s="311">
        <v>340</v>
      </c>
      <c r="C200" s="311">
        <v>2.27</v>
      </c>
    </row>
    <row r="201" spans="2:3" ht="15.75">
      <c r="B201" s="311">
        <v>341</v>
      </c>
      <c r="C201" s="311">
        <v>2.08</v>
      </c>
    </row>
    <row r="202" spans="2:3" ht="15.75">
      <c r="B202" s="311">
        <v>342</v>
      </c>
      <c r="C202" s="311">
        <v>2.08</v>
      </c>
    </row>
    <row r="203" spans="2:3" ht="15.75">
      <c r="B203" s="311">
        <v>343</v>
      </c>
      <c r="C203" s="311">
        <v>2.08</v>
      </c>
    </row>
    <row r="204" spans="2:3" ht="15.75">
      <c r="B204" s="311">
        <v>344</v>
      </c>
      <c r="C204" s="311">
        <v>2.08</v>
      </c>
    </row>
    <row r="205" spans="2:3" ht="15.75">
      <c r="B205" s="311">
        <v>345</v>
      </c>
      <c r="C205" s="311">
        <v>2.08</v>
      </c>
    </row>
    <row r="206" spans="2:3" ht="15.75">
      <c r="B206" s="311">
        <v>346</v>
      </c>
      <c r="C206" s="311">
        <v>2.08</v>
      </c>
    </row>
    <row r="207" spans="2:3" ht="15.75">
      <c r="B207" s="311">
        <v>347</v>
      </c>
      <c r="C207" s="311">
        <v>2.08</v>
      </c>
    </row>
    <row r="208" spans="2:3" ht="15.75">
      <c r="B208" s="311">
        <v>348</v>
      </c>
      <c r="C208" s="311">
        <v>2.08</v>
      </c>
    </row>
    <row r="209" spans="2:3" ht="15.75">
      <c r="B209" s="311">
        <v>349</v>
      </c>
      <c r="C209" s="311">
        <v>2.08</v>
      </c>
    </row>
    <row r="210" spans="2:3" ht="15.75">
      <c r="B210" s="311">
        <v>350</v>
      </c>
      <c r="C210" s="311">
        <v>2.08</v>
      </c>
    </row>
    <row r="211" spans="2:3" ht="15.75">
      <c r="B211" s="311">
        <v>351</v>
      </c>
      <c r="C211" s="311">
        <v>2.08</v>
      </c>
    </row>
    <row r="212" spans="2:3" ht="15.75">
      <c r="B212" s="311">
        <v>352</v>
      </c>
      <c r="C212" s="311">
        <v>2.08</v>
      </c>
    </row>
    <row r="213" spans="2:3" ht="15.75">
      <c r="B213" s="311">
        <v>353</v>
      </c>
      <c r="C213" s="311">
        <v>2.08</v>
      </c>
    </row>
    <row r="214" spans="2:3" ht="15.75">
      <c r="B214" s="311">
        <v>354</v>
      </c>
      <c r="C214" s="311">
        <v>1.92</v>
      </c>
    </row>
    <row r="215" spans="2:3" ht="15.75">
      <c r="B215" s="311">
        <v>355</v>
      </c>
      <c r="C215" s="311">
        <v>1.92</v>
      </c>
    </row>
    <row r="216" spans="2:3" ht="15.75">
      <c r="B216" s="311">
        <v>356</v>
      </c>
      <c r="C216" s="311">
        <v>1.92</v>
      </c>
    </row>
    <row r="217" spans="2:3" ht="15.75">
      <c r="B217" s="311">
        <v>357</v>
      </c>
      <c r="C217" s="311">
        <v>1.92</v>
      </c>
    </row>
    <row r="218" spans="2:3" ht="15.75">
      <c r="B218" s="311">
        <v>358</v>
      </c>
      <c r="C218" s="311">
        <v>1.92</v>
      </c>
    </row>
    <row r="219" spans="2:3" ht="15.75">
      <c r="B219" s="311">
        <v>359</v>
      </c>
      <c r="C219" s="311">
        <v>1.92</v>
      </c>
    </row>
    <row r="220" spans="2:3" ht="15.75">
      <c r="B220" s="311">
        <v>360</v>
      </c>
      <c r="C220" s="311">
        <v>1.92</v>
      </c>
    </row>
    <row r="221" spans="2:3" ht="15.75">
      <c r="B221" s="311">
        <v>361</v>
      </c>
      <c r="C221" s="311">
        <v>1.92</v>
      </c>
    </row>
    <row r="222" spans="2:3" ht="15.75">
      <c r="B222" s="311">
        <v>362</v>
      </c>
      <c r="C222" s="311">
        <v>1.92</v>
      </c>
    </row>
    <row r="223" spans="2:3" ht="15.75">
      <c r="B223" s="311">
        <v>363</v>
      </c>
      <c r="C223" s="311">
        <v>1.92</v>
      </c>
    </row>
    <row r="224" spans="2:3" ht="15.75">
      <c r="B224" s="311">
        <v>364</v>
      </c>
      <c r="C224" s="311">
        <v>1.92</v>
      </c>
    </row>
    <row r="225" spans="2:3" ht="15.75">
      <c r="B225" s="311">
        <v>365</v>
      </c>
      <c r="C225" s="311">
        <v>1.92</v>
      </c>
    </row>
    <row r="226" spans="2:3" ht="15.75">
      <c r="B226" s="311">
        <v>366</v>
      </c>
      <c r="C226" s="311">
        <v>1.92</v>
      </c>
    </row>
    <row r="227" spans="2:3" ht="15.75">
      <c r="B227" s="311">
        <v>367</v>
      </c>
      <c r="C227" s="311">
        <v>1.92</v>
      </c>
    </row>
    <row r="228" spans="2:3" ht="15.75">
      <c r="B228" s="311">
        <v>368</v>
      </c>
      <c r="C228" s="311">
        <v>1.79</v>
      </c>
    </row>
    <row r="229" spans="2:3" ht="15.75">
      <c r="B229" s="311">
        <v>369</v>
      </c>
      <c r="C229" s="311">
        <v>1.79</v>
      </c>
    </row>
    <row r="230" spans="2:3" ht="15.75">
      <c r="B230" s="311">
        <v>370</v>
      </c>
      <c r="C230" s="311">
        <v>1.79</v>
      </c>
    </row>
    <row r="231" spans="2:3" ht="15.75">
      <c r="B231" s="311">
        <v>371</v>
      </c>
      <c r="C231" s="311">
        <v>1.79</v>
      </c>
    </row>
    <row r="232" spans="2:3" ht="15.75">
      <c r="B232" s="311">
        <v>372</v>
      </c>
      <c r="C232" s="311">
        <v>1.79</v>
      </c>
    </row>
    <row r="233" spans="2:3" ht="15.75">
      <c r="B233" s="311">
        <v>373</v>
      </c>
      <c r="C233" s="311">
        <v>1.79</v>
      </c>
    </row>
    <row r="234" spans="2:3" ht="15.75">
      <c r="B234" s="311">
        <v>374</v>
      </c>
      <c r="C234" s="311">
        <v>1.79</v>
      </c>
    </row>
    <row r="235" spans="2:3" ht="15.75">
      <c r="B235" s="311">
        <v>375</v>
      </c>
      <c r="C235" s="311">
        <v>1.79</v>
      </c>
    </row>
    <row r="236" spans="2:3" ht="15.75">
      <c r="B236" s="311">
        <v>376</v>
      </c>
      <c r="C236" s="311">
        <v>1.79</v>
      </c>
    </row>
    <row r="237" spans="2:3" ht="15.75">
      <c r="B237" s="311">
        <v>377</v>
      </c>
      <c r="C237" s="311">
        <v>1.79</v>
      </c>
    </row>
    <row r="238" spans="2:3" ht="15.75">
      <c r="B238" s="311">
        <v>378</v>
      </c>
      <c r="C238" s="311">
        <v>1.79</v>
      </c>
    </row>
    <row r="239" spans="2:3" ht="15.75">
      <c r="B239" s="311">
        <v>379</v>
      </c>
      <c r="C239" s="311">
        <v>1.79</v>
      </c>
    </row>
    <row r="240" spans="2:3" ht="15.75">
      <c r="B240" s="311">
        <v>380</v>
      </c>
      <c r="C240" s="311">
        <v>1.67</v>
      </c>
    </row>
    <row r="241" spans="2:3" ht="15.75">
      <c r="B241" s="311">
        <v>381</v>
      </c>
      <c r="C241" s="311">
        <v>1.67</v>
      </c>
    </row>
    <row r="242" spans="2:3" ht="15.75">
      <c r="B242" s="311">
        <v>382</v>
      </c>
      <c r="C242" s="311">
        <v>1.67</v>
      </c>
    </row>
    <row r="243" spans="2:3" ht="15.75">
      <c r="B243" s="311">
        <v>383</v>
      </c>
      <c r="C243" s="311">
        <v>1.67</v>
      </c>
    </row>
    <row r="244" spans="2:3" ht="15.75">
      <c r="B244" s="311">
        <v>384</v>
      </c>
      <c r="C244" s="311">
        <v>1.67</v>
      </c>
    </row>
    <row r="245" spans="2:3" ht="15.75">
      <c r="B245" s="311">
        <v>385</v>
      </c>
      <c r="C245" s="311">
        <v>1.67</v>
      </c>
    </row>
    <row r="246" spans="2:3" ht="15.75">
      <c r="B246" s="311">
        <v>386</v>
      </c>
      <c r="C246" s="311">
        <v>1.67</v>
      </c>
    </row>
    <row r="247" spans="2:3" ht="15.75">
      <c r="B247" s="311">
        <v>387</v>
      </c>
      <c r="C247" s="311">
        <v>1.67</v>
      </c>
    </row>
    <row r="248" spans="2:3" ht="15.75">
      <c r="B248" s="311">
        <v>388</v>
      </c>
      <c r="C248" s="311">
        <v>1.67</v>
      </c>
    </row>
    <row r="249" spans="2:3" ht="15.75">
      <c r="B249" s="311">
        <v>389</v>
      </c>
      <c r="C249" s="311">
        <v>1.67</v>
      </c>
    </row>
    <row r="250" spans="2:3" ht="15.75">
      <c r="B250" s="311">
        <v>390</v>
      </c>
      <c r="C250" s="311">
        <v>1.67</v>
      </c>
    </row>
    <row r="251" spans="2:3" ht="15.75">
      <c r="B251" s="311">
        <v>391</v>
      </c>
      <c r="C251" s="311">
        <v>1.67</v>
      </c>
    </row>
    <row r="252" spans="2:3" ht="15.75">
      <c r="B252" s="311">
        <v>392</v>
      </c>
      <c r="C252" s="311">
        <v>1.67</v>
      </c>
    </row>
    <row r="253" spans="2:3" ht="15.75">
      <c r="B253" s="311">
        <v>393</v>
      </c>
      <c r="C253" s="311">
        <v>1.56</v>
      </c>
    </row>
    <row r="254" spans="2:3" ht="15.75">
      <c r="B254" s="311">
        <v>394</v>
      </c>
      <c r="C254" s="311">
        <v>1.56</v>
      </c>
    </row>
    <row r="255" spans="2:3" ht="15.75">
      <c r="B255" s="311">
        <v>395</v>
      </c>
      <c r="C255" s="311">
        <v>1.56</v>
      </c>
    </row>
    <row r="256" spans="2:3" ht="15.75">
      <c r="B256" s="311">
        <v>396</v>
      </c>
      <c r="C256" s="311">
        <v>1.56</v>
      </c>
    </row>
    <row r="257" spans="2:3" ht="15.75">
      <c r="B257" s="311">
        <v>397</v>
      </c>
      <c r="C257" s="311">
        <v>1.56</v>
      </c>
    </row>
    <row r="258" spans="2:3" ht="15.75">
      <c r="B258" s="311">
        <v>398</v>
      </c>
      <c r="C258" s="311">
        <v>1.56</v>
      </c>
    </row>
    <row r="259" spans="2:3" ht="15.75">
      <c r="B259" s="311">
        <v>399</v>
      </c>
      <c r="C259" s="311">
        <v>1.56</v>
      </c>
    </row>
    <row r="260" spans="2:3" ht="15.75">
      <c r="B260" s="311">
        <v>400</v>
      </c>
      <c r="C260" s="311">
        <v>1.56</v>
      </c>
    </row>
    <row r="261" spans="2:3" ht="15.75">
      <c r="B261" s="311">
        <v>401</v>
      </c>
      <c r="C261" s="311">
        <v>1.56</v>
      </c>
    </row>
    <row r="262" spans="2:3" ht="15.75">
      <c r="B262" s="311">
        <v>402</v>
      </c>
      <c r="C262" s="311">
        <v>1.56</v>
      </c>
    </row>
    <row r="263" spans="2:3" ht="15.75">
      <c r="B263" s="311">
        <v>403</v>
      </c>
      <c r="C263" s="311">
        <v>1.56</v>
      </c>
    </row>
    <row r="264" spans="2:3" ht="15.75">
      <c r="B264" s="311">
        <v>404</v>
      </c>
      <c r="C264" s="311">
        <v>1.56</v>
      </c>
    </row>
    <row r="265" spans="2:3" ht="15.75">
      <c r="B265" s="311">
        <v>405</v>
      </c>
      <c r="C265" s="311">
        <v>1.56</v>
      </c>
    </row>
    <row r="266" spans="2:3" ht="15.75">
      <c r="B266" s="311">
        <v>406</v>
      </c>
      <c r="C266" s="311">
        <v>1.47</v>
      </c>
    </row>
    <row r="267" spans="2:3" ht="15.75">
      <c r="B267" s="311">
        <v>407</v>
      </c>
      <c r="C267" s="311">
        <v>1.47</v>
      </c>
    </row>
    <row r="268" spans="2:3" ht="15.75">
      <c r="B268" s="311">
        <v>408</v>
      </c>
      <c r="C268" s="311">
        <v>1.47</v>
      </c>
    </row>
    <row r="269" spans="2:3" ht="15.75">
      <c r="B269" s="311">
        <v>409</v>
      </c>
      <c r="C269" s="311">
        <v>1.47</v>
      </c>
    </row>
    <row r="270" spans="2:3" ht="15.75">
      <c r="B270" s="311">
        <v>410</v>
      </c>
      <c r="C270" s="311">
        <v>1.47</v>
      </c>
    </row>
    <row r="271" spans="2:3" ht="15.75">
      <c r="B271" s="311">
        <v>411</v>
      </c>
      <c r="C271" s="311">
        <v>1.47</v>
      </c>
    </row>
    <row r="272" spans="2:3" ht="15.75">
      <c r="B272" s="311">
        <v>412</v>
      </c>
      <c r="C272" s="311">
        <v>1.47</v>
      </c>
    </row>
    <row r="273" spans="2:3" ht="15.75">
      <c r="B273" s="311">
        <v>413</v>
      </c>
      <c r="C273" s="311">
        <v>1.47</v>
      </c>
    </row>
    <row r="274" spans="2:3" ht="15.75">
      <c r="B274" s="311">
        <v>414</v>
      </c>
      <c r="C274" s="311">
        <v>1.47</v>
      </c>
    </row>
    <row r="275" spans="2:3" ht="15.75">
      <c r="B275" s="311">
        <v>415</v>
      </c>
      <c r="C275" s="311">
        <v>1.47</v>
      </c>
    </row>
    <row r="276" spans="2:3" ht="15.75">
      <c r="B276" s="311">
        <v>416</v>
      </c>
      <c r="C276" s="311">
        <v>1.47</v>
      </c>
    </row>
    <row r="277" spans="2:3" ht="15.75">
      <c r="B277" s="311">
        <v>417</v>
      </c>
      <c r="C277" s="311">
        <v>1.47</v>
      </c>
    </row>
    <row r="278" spans="2:3" ht="15.75">
      <c r="B278" s="311">
        <v>418</v>
      </c>
      <c r="C278" s="311">
        <v>1.47</v>
      </c>
    </row>
    <row r="279" spans="2:3" ht="15.75">
      <c r="B279" s="311">
        <v>419</v>
      </c>
      <c r="C279" s="311">
        <v>1.47</v>
      </c>
    </row>
    <row r="280" spans="2:3" ht="15.75">
      <c r="B280" s="311">
        <v>420</v>
      </c>
      <c r="C280" s="311">
        <v>1.47</v>
      </c>
    </row>
    <row r="281" spans="2:3" ht="15.75">
      <c r="B281" s="311">
        <v>421</v>
      </c>
      <c r="C281" s="311">
        <v>1.39</v>
      </c>
    </row>
    <row r="282" spans="2:3" ht="15.75">
      <c r="B282" s="311">
        <v>422</v>
      </c>
      <c r="C282" s="311">
        <v>1.39</v>
      </c>
    </row>
    <row r="283" spans="2:3" ht="15.75">
      <c r="B283" s="311">
        <v>423</v>
      </c>
      <c r="C283" s="311">
        <v>1.39</v>
      </c>
    </row>
    <row r="284" spans="2:3" ht="15.75">
      <c r="B284" s="311">
        <v>424</v>
      </c>
      <c r="C284" s="311">
        <v>1.39</v>
      </c>
    </row>
    <row r="285" spans="2:3" ht="15.75">
      <c r="B285" s="311">
        <v>425</v>
      </c>
      <c r="C285" s="311">
        <v>1.39</v>
      </c>
    </row>
    <row r="286" spans="2:3" ht="15.75">
      <c r="B286" s="311">
        <v>426</v>
      </c>
      <c r="C286" s="311">
        <v>1.39</v>
      </c>
    </row>
    <row r="287" spans="2:3" ht="15.75">
      <c r="B287" s="311">
        <v>427</v>
      </c>
      <c r="C287" s="311">
        <v>1.39</v>
      </c>
    </row>
    <row r="288" spans="2:3" ht="15.75">
      <c r="B288" s="311">
        <v>428</v>
      </c>
      <c r="C288" s="311">
        <v>1.39</v>
      </c>
    </row>
    <row r="289" spans="2:3" ht="15.75">
      <c r="B289" s="311">
        <v>429</v>
      </c>
      <c r="C289" s="311">
        <v>1.39</v>
      </c>
    </row>
    <row r="290" spans="2:3" ht="15.75">
      <c r="B290" s="311">
        <v>430</v>
      </c>
      <c r="C290" s="311">
        <v>1.39</v>
      </c>
    </row>
    <row r="291" spans="2:3" ht="15.75">
      <c r="B291" s="311">
        <v>431</v>
      </c>
      <c r="C291" s="311">
        <v>1.39</v>
      </c>
    </row>
    <row r="292" spans="2:3" ht="15.75">
      <c r="B292" s="311">
        <v>432</v>
      </c>
      <c r="C292" s="311">
        <v>1.32</v>
      </c>
    </row>
    <row r="293" spans="2:3" ht="15.75">
      <c r="B293" s="311">
        <v>433</v>
      </c>
      <c r="C293" s="311">
        <v>1.32</v>
      </c>
    </row>
    <row r="294" spans="2:3" ht="15.75">
      <c r="B294" s="311">
        <v>434</v>
      </c>
      <c r="C294" s="311">
        <v>1.32</v>
      </c>
    </row>
    <row r="295" spans="2:3" ht="15.75">
      <c r="B295" s="311">
        <v>435</v>
      </c>
      <c r="C295" s="311">
        <v>1.32</v>
      </c>
    </row>
    <row r="296" spans="2:3" ht="15.75">
      <c r="B296" s="311">
        <v>436</v>
      </c>
      <c r="C296" s="311">
        <v>1.32</v>
      </c>
    </row>
    <row r="297" spans="2:3" ht="15.75">
      <c r="B297" s="311">
        <v>437</v>
      </c>
      <c r="C297" s="311">
        <v>1.32</v>
      </c>
    </row>
    <row r="298" spans="2:3" ht="15.75">
      <c r="B298" s="311">
        <v>438</v>
      </c>
      <c r="C298" s="311">
        <v>1.32</v>
      </c>
    </row>
    <row r="299" spans="2:3" ht="15.75">
      <c r="B299" s="311">
        <v>439</v>
      </c>
      <c r="C299" s="311">
        <v>1.32</v>
      </c>
    </row>
    <row r="300" spans="2:3" ht="15.75">
      <c r="B300" s="311">
        <v>440</v>
      </c>
      <c r="C300" s="311">
        <v>1.32</v>
      </c>
    </row>
    <row r="301" spans="2:3" ht="15.75">
      <c r="B301" s="311">
        <v>441</v>
      </c>
      <c r="C301" s="311">
        <v>1.32</v>
      </c>
    </row>
    <row r="302" spans="2:3" ht="15.75">
      <c r="B302" s="311">
        <v>442</v>
      </c>
      <c r="C302" s="311">
        <v>1.32</v>
      </c>
    </row>
    <row r="303" spans="2:3" ht="15.75">
      <c r="B303" s="311">
        <v>443</v>
      </c>
      <c r="C303" s="311">
        <v>1.32</v>
      </c>
    </row>
    <row r="304" spans="2:3" ht="15.75">
      <c r="B304" s="311">
        <v>444</v>
      </c>
      <c r="C304" s="311">
        <v>1.25</v>
      </c>
    </row>
    <row r="305" spans="2:3" ht="15.75">
      <c r="B305" s="311">
        <v>445</v>
      </c>
      <c r="C305" s="311">
        <v>1.25</v>
      </c>
    </row>
    <row r="306" spans="2:3" ht="15.75">
      <c r="B306" s="311">
        <v>446</v>
      </c>
      <c r="C306" s="311">
        <v>1.25</v>
      </c>
    </row>
    <row r="307" spans="2:3" ht="15.75">
      <c r="B307" s="311">
        <v>447</v>
      </c>
      <c r="C307" s="311">
        <v>1.25</v>
      </c>
    </row>
    <row r="308" spans="2:3" ht="15.75">
      <c r="B308" s="311">
        <v>448</v>
      </c>
      <c r="C308" s="311">
        <v>1.25</v>
      </c>
    </row>
    <row r="309" spans="2:3" ht="15.75">
      <c r="B309" s="311">
        <v>449</v>
      </c>
      <c r="C309" s="311">
        <v>1.25</v>
      </c>
    </row>
    <row r="310" spans="2:3" ht="15.75">
      <c r="B310" s="311">
        <v>450</v>
      </c>
      <c r="C310" s="311">
        <v>1.25</v>
      </c>
    </row>
    <row r="311" spans="2:3" ht="15.75">
      <c r="B311" s="311">
        <v>451</v>
      </c>
      <c r="C311" s="311">
        <v>1.25</v>
      </c>
    </row>
    <row r="312" spans="2:3" ht="15.75">
      <c r="B312" s="311">
        <v>452</v>
      </c>
      <c r="C312" s="311">
        <v>1.25</v>
      </c>
    </row>
    <row r="313" spans="2:3" ht="15.75">
      <c r="B313" s="311">
        <v>453</v>
      </c>
      <c r="C313" s="311">
        <v>1.25</v>
      </c>
    </row>
    <row r="314" spans="2:3" ht="15.75">
      <c r="B314" s="311">
        <v>454</v>
      </c>
      <c r="C314" s="311">
        <v>1.25</v>
      </c>
    </row>
    <row r="315" spans="2:3" ht="15.75">
      <c r="B315" s="311">
        <v>455</v>
      </c>
      <c r="C315" s="311">
        <v>1.25</v>
      </c>
    </row>
    <row r="316" spans="2:3" ht="15.75">
      <c r="B316" s="311">
        <v>456</v>
      </c>
      <c r="C316" s="311">
        <v>1.25</v>
      </c>
    </row>
    <row r="317" spans="2:3" ht="15.75">
      <c r="B317" s="311">
        <v>457</v>
      </c>
      <c r="C317" s="311">
        <v>1.19</v>
      </c>
    </row>
    <row r="318" spans="2:3" ht="15.75">
      <c r="B318" s="311">
        <v>458</v>
      </c>
      <c r="C318" s="311">
        <v>1.19</v>
      </c>
    </row>
    <row r="319" spans="2:3" ht="15.75">
      <c r="B319" s="311">
        <v>459</v>
      </c>
      <c r="C319" s="311">
        <v>1.19</v>
      </c>
    </row>
    <row r="320" spans="2:3" ht="15.75">
      <c r="B320" s="311">
        <v>460</v>
      </c>
      <c r="C320" s="311">
        <v>1.19</v>
      </c>
    </row>
    <row r="321" spans="2:3" ht="15.75">
      <c r="B321" s="311">
        <v>461</v>
      </c>
      <c r="C321" s="311">
        <v>1.19</v>
      </c>
    </row>
    <row r="322" spans="2:3" ht="15.75">
      <c r="B322" s="311">
        <v>462</v>
      </c>
      <c r="C322" s="311">
        <v>1.19</v>
      </c>
    </row>
    <row r="323" spans="2:3" ht="15.75">
      <c r="B323" s="311">
        <v>463</v>
      </c>
      <c r="C323" s="311">
        <v>1.19</v>
      </c>
    </row>
    <row r="324" spans="2:3" ht="15.75">
      <c r="B324" s="311">
        <v>464</v>
      </c>
      <c r="C324" s="311">
        <v>1.19</v>
      </c>
    </row>
    <row r="325" spans="2:3" ht="15.75">
      <c r="B325" s="311">
        <v>465</v>
      </c>
      <c r="C325" s="311">
        <v>1.19</v>
      </c>
    </row>
    <row r="326" spans="2:3" ht="15.75">
      <c r="B326" s="311">
        <v>466</v>
      </c>
      <c r="C326" s="311">
        <v>1.19</v>
      </c>
    </row>
    <row r="327" spans="2:3" ht="15.75">
      <c r="B327" s="311">
        <v>467</v>
      </c>
      <c r="C327" s="311">
        <v>1.19</v>
      </c>
    </row>
    <row r="328" spans="2:3" ht="15.75">
      <c r="B328" s="311">
        <v>468</v>
      </c>
      <c r="C328" s="311">
        <v>1.19</v>
      </c>
    </row>
    <row r="329" spans="2:3" ht="15.75">
      <c r="B329" s="311">
        <v>469</v>
      </c>
      <c r="C329" s="311">
        <v>1.19</v>
      </c>
    </row>
    <row r="330" spans="2:3" ht="15.75">
      <c r="B330" s="311">
        <v>470</v>
      </c>
      <c r="C330" s="311">
        <v>1.19</v>
      </c>
    </row>
    <row r="331" spans="2:3" ht="15.75">
      <c r="B331" s="311">
        <v>471</v>
      </c>
      <c r="C331" s="311">
        <v>1.14</v>
      </c>
    </row>
    <row r="332" spans="2:3" ht="15.75">
      <c r="B332" s="311">
        <v>472</v>
      </c>
      <c r="C332" s="311">
        <v>1.14</v>
      </c>
    </row>
    <row r="333" spans="2:3" ht="15.75">
      <c r="B333" s="311">
        <v>473</v>
      </c>
      <c r="C333" s="311">
        <v>1.14</v>
      </c>
    </row>
    <row r="334" spans="2:3" ht="15.75">
      <c r="B334" s="311">
        <v>474</v>
      </c>
      <c r="C334" s="311">
        <v>1.14</v>
      </c>
    </row>
    <row r="335" spans="2:3" ht="15.75">
      <c r="B335" s="311">
        <v>475</v>
      </c>
      <c r="C335" s="311">
        <v>1.14</v>
      </c>
    </row>
    <row r="336" spans="2:3" ht="15.75">
      <c r="B336" s="311">
        <v>476</v>
      </c>
      <c r="C336" s="311">
        <v>1.14</v>
      </c>
    </row>
    <row r="337" spans="2:3" ht="15.75">
      <c r="B337" s="311">
        <v>477</v>
      </c>
      <c r="C337" s="311">
        <v>1.14</v>
      </c>
    </row>
    <row r="338" spans="2:3" ht="15.75">
      <c r="B338" s="311">
        <v>478</v>
      </c>
      <c r="C338" s="311">
        <v>1.14</v>
      </c>
    </row>
    <row r="339" spans="2:3" ht="15.75">
      <c r="B339" s="311">
        <v>479</v>
      </c>
      <c r="C339" s="311">
        <v>1.14</v>
      </c>
    </row>
    <row r="340" spans="2:3" ht="15.75">
      <c r="B340" s="311">
        <v>480</v>
      </c>
      <c r="C340" s="311">
        <v>1.14</v>
      </c>
    </row>
    <row r="341" spans="2:3" ht="15.75">
      <c r="B341" s="311">
        <v>481</v>
      </c>
      <c r="C341" s="311">
        <v>1.14</v>
      </c>
    </row>
    <row r="342" spans="2:3" ht="15.75">
      <c r="B342" s="311">
        <v>482</v>
      </c>
      <c r="C342" s="311">
        <v>1.14</v>
      </c>
    </row>
    <row r="343" spans="2:3" ht="15.75">
      <c r="B343" s="311">
        <v>483</v>
      </c>
      <c r="C343" s="311">
        <v>1.09</v>
      </c>
    </row>
    <row r="344" spans="2:3" ht="15.75">
      <c r="B344" s="311">
        <v>484</v>
      </c>
      <c r="C344" s="311">
        <v>1.09</v>
      </c>
    </row>
    <row r="345" spans="2:3" ht="15.75">
      <c r="B345" s="311">
        <v>485</v>
      </c>
      <c r="C345" s="311">
        <v>1.09</v>
      </c>
    </row>
    <row r="346" spans="2:3" ht="15.75">
      <c r="B346" s="311">
        <v>486</v>
      </c>
      <c r="C346" s="311">
        <v>1.09</v>
      </c>
    </row>
    <row r="347" spans="2:3" ht="15.75">
      <c r="B347" s="311">
        <v>487</v>
      </c>
      <c r="C347" s="311">
        <v>1.09</v>
      </c>
    </row>
    <row r="348" spans="2:3" ht="15.75">
      <c r="B348" s="311">
        <v>488</v>
      </c>
      <c r="C348" s="311">
        <v>1.09</v>
      </c>
    </row>
    <row r="349" spans="2:3" ht="15.75">
      <c r="B349" s="311">
        <v>489</v>
      </c>
      <c r="C349" s="311">
        <v>1.09</v>
      </c>
    </row>
    <row r="350" spans="2:3" ht="15.75">
      <c r="B350" s="311">
        <v>490</v>
      </c>
      <c r="C350" s="311">
        <v>1.09</v>
      </c>
    </row>
    <row r="351" spans="2:3" ht="15.75">
      <c r="B351" s="311">
        <v>491</v>
      </c>
      <c r="C351" s="311">
        <v>1.09</v>
      </c>
    </row>
    <row r="352" spans="2:3" ht="15.75">
      <c r="B352" s="311">
        <v>492</v>
      </c>
      <c r="C352" s="311">
        <v>1.09</v>
      </c>
    </row>
    <row r="353" spans="2:3" ht="15.75">
      <c r="B353" s="311">
        <v>493</v>
      </c>
      <c r="C353" s="311">
        <v>1.09</v>
      </c>
    </row>
    <row r="354" spans="2:3" ht="15.75">
      <c r="B354" s="311">
        <v>494</v>
      </c>
      <c r="C354" s="311">
        <v>1.09</v>
      </c>
    </row>
    <row r="355" spans="2:3" ht="15.75">
      <c r="B355" s="311">
        <v>495</v>
      </c>
      <c r="C355" s="311">
        <v>1.09</v>
      </c>
    </row>
    <row r="356" spans="2:3" ht="15.75">
      <c r="B356" s="311">
        <v>496</v>
      </c>
      <c r="C356" s="311">
        <v>1.04</v>
      </c>
    </row>
    <row r="357" spans="2:3" ht="15.75">
      <c r="B357" s="311">
        <v>497</v>
      </c>
      <c r="C357" s="311">
        <v>1.04</v>
      </c>
    </row>
    <row r="358" spans="2:3" ht="15.75">
      <c r="B358" s="311">
        <v>498</v>
      </c>
      <c r="C358" s="311">
        <v>1.04</v>
      </c>
    </row>
    <row r="359" spans="2:3" ht="15.75">
      <c r="B359" s="311">
        <v>499</v>
      </c>
      <c r="C359" s="311">
        <v>1.04</v>
      </c>
    </row>
    <row r="360" spans="2:3" ht="15.75">
      <c r="B360" s="311">
        <v>500</v>
      </c>
      <c r="C360" s="311">
        <v>1.04</v>
      </c>
    </row>
    <row r="361" spans="2:3" ht="15.75">
      <c r="B361" s="311">
        <v>501</v>
      </c>
      <c r="C361" s="311">
        <v>1.04</v>
      </c>
    </row>
    <row r="362" spans="2:3" ht="15.75">
      <c r="B362" s="311">
        <v>502</v>
      </c>
      <c r="C362" s="311">
        <v>1.04</v>
      </c>
    </row>
    <row r="363" spans="2:3" ht="15.75">
      <c r="B363" s="311">
        <v>503</v>
      </c>
      <c r="C363" s="311">
        <v>1.04</v>
      </c>
    </row>
    <row r="364" spans="2:3" ht="15.75">
      <c r="B364" s="311">
        <v>504</v>
      </c>
      <c r="C364" s="311">
        <v>1.04</v>
      </c>
    </row>
    <row r="365" spans="2:3" ht="15.75">
      <c r="B365" s="311">
        <v>505</v>
      </c>
      <c r="C365" s="311">
        <v>1.04</v>
      </c>
    </row>
    <row r="366" spans="2:3" ht="15.75">
      <c r="B366" s="311">
        <v>506</v>
      </c>
      <c r="C366" s="311">
        <v>1.04</v>
      </c>
    </row>
    <row r="367" spans="2:3" ht="15.75">
      <c r="B367" s="311">
        <v>507</v>
      </c>
      <c r="C367" s="311">
        <v>1.04</v>
      </c>
    </row>
    <row r="368" spans="2:3" ht="15.75">
      <c r="B368" s="311">
        <v>508</v>
      </c>
      <c r="C368" s="311">
        <v>1.04</v>
      </c>
    </row>
    <row r="369" spans="2:3" ht="15.75">
      <c r="B369" s="311">
        <v>509</v>
      </c>
      <c r="C369" s="311">
        <v>1</v>
      </c>
    </row>
    <row r="370" spans="2:3" ht="15.75">
      <c r="B370" s="311">
        <v>510</v>
      </c>
      <c r="C370" s="311">
        <v>1</v>
      </c>
    </row>
    <row r="371" spans="2:3" ht="15.75">
      <c r="B371" s="311">
        <v>511</v>
      </c>
      <c r="C371" s="311">
        <v>1</v>
      </c>
    </row>
    <row r="372" spans="2:3" ht="15.75">
      <c r="B372" s="311">
        <v>512</v>
      </c>
      <c r="C372" s="311">
        <v>1</v>
      </c>
    </row>
    <row r="373" spans="2:3" ht="15.75">
      <c r="B373" s="311">
        <v>513</v>
      </c>
      <c r="C373" s="311">
        <v>1</v>
      </c>
    </row>
    <row r="374" spans="2:3" ht="15.75">
      <c r="B374" s="311">
        <v>514</v>
      </c>
      <c r="C374" s="311">
        <v>1</v>
      </c>
    </row>
    <row r="375" spans="2:3" ht="15.75">
      <c r="B375" s="311">
        <v>515</v>
      </c>
      <c r="C375" s="311">
        <v>1</v>
      </c>
    </row>
    <row r="376" spans="2:3" ht="15.75">
      <c r="B376" s="311">
        <v>516</v>
      </c>
      <c r="C376" s="311">
        <v>1</v>
      </c>
    </row>
    <row r="377" spans="2:3" ht="15.75">
      <c r="B377" s="311">
        <v>517</v>
      </c>
      <c r="C377" s="311">
        <v>1</v>
      </c>
    </row>
    <row r="378" spans="2:3" ht="15.75">
      <c r="B378" s="311">
        <v>518</v>
      </c>
      <c r="C378" s="311">
        <v>1</v>
      </c>
    </row>
    <row r="379" spans="2:3" ht="15.75">
      <c r="B379" s="311">
        <v>519</v>
      </c>
      <c r="C379" s="311">
        <v>1</v>
      </c>
    </row>
    <row r="380" spans="2:3" ht="15.75">
      <c r="B380" s="311">
        <v>520</v>
      </c>
      <c r="C380" s="311">
        <v>1</v>
      </c>
    </row>
    <row r="381" spans="2:3" ht="15.75">
      <c r="B381" s="311">
        <v>521</v>
      </c>
      <c r="C381" s="311">
        <v>1</v>
      </c>
    </row>
    <row r="382" spans="2:3" ht="15.75">
      <c r="B382" s="311">
        <v>522</v>
      </c>
      <c r="C382" s="311">
        <v>1</v>
      </c>
    </row>
    <row r="383" spans="2:3" ht="15.75">
      <c r="B383" s="311">
        <v>523</v>
      </c>
      <c r="C383" s="311">
        <v>0.96</v>
      </c>
    </row>
    <row r="384" spans="2:3" ht="15.75">
      <c r="B384" s="311">
        <v>524</v>
      </c>
      <c r="C384" s="311">
        <v>0.96</v>
      </c>
    </row>
    <row r="385" spans="2:3" ht="15.75">
      <c r="B385" s="311">
        <v>525</v>
      </c>
      <c r="C385" s="311">
        <v>0.96</v>
      </c>
    </row>
    <row r="386" spans="2:3" ht="15.75">
      <c r="B386" s="311">
        <v>526</v>
      </c>
      <c r="C386" s="311">
        <v>0.96</v>
      </c>
    </row>
    <row r="387" spans="2:3" ht="15.75">
      <c r="B387" s="311">
        <v>527</v>
      </c>
      <c r="C387" s="311">
        <v>0.96</v>
      </c>
    </row>
    <row r="388" spans="2:3" ht="15.75">
      <c r="B388" s="311">
        <v>528</v>
      </c>
      <c r="C388" s="311">
        <v>0.96</v>
      </c>
    </row>
    <row r="389" spans="2:3" ht="15.75">
      <c r="B389" s="311">
        <v>529</v>
      </c>
      <c r="C389" s="311">
        <v>0.96</v>
      </c>
    </row>
    <row r="390" spans="2:3" ht="15.75">
      <c r="B390" s="311">
        <v>530</v>
      </c>
      <c r="C390" s="311">
        <v>0.96</v>
      </c>
    </row>
    <row r="391" spans="2:3" ht="15.75">
      <c r="B391" s="311">
        <v>531</v>
      </c>
      <c r="C391" s="311">
        <v>0.96</v>
      </c>
    </row>
    <row r="392" spans="2:3" ht="15.75">
      <c r="B392" s="311">
        <v>532</v>
      </c>
      <c r="C392" s="311">
        <v>0.96</v>
      </c>
    </row>
    <row r="393" spans="2:3" ht="15.75">
      <c r="B393" s="311">
        <v>533</v>
      </c>
      <c r="C393" s="311">
        <v>0.96</v>
      </c>
    </row>
    <row r="394" spans="2:3" ht="15.75">
      <c r="B394" s="311">
        <v>534</v>
      </c>
      <c r="C394" s="311">
        <v>0.96</v>
      </c>
    </row>
    <row r="395" spans="2:3" ht="15.75">
      <c r="B395" s="311">
        <v>535</v>
      </c>
      <c r="C395" s="311">
        <v>0.96</v>
      </c>
    </row>
    <row r="396" spans="2:3" ht="15.75">
      <c r="B396" s="311">
        <v>536</v>
      </c>
      <c r="C396" s="311">
        <v>0.93</v>
      </c>
    </row>
    <row r="397" spans="2:3" ht="15.75">
      <c r="B397" s="311">
        <v>537</v>
      </c>
      <c r="C397" s="311">
        <v>0.93</v>
      </c>
    </row>
    <row r="398" spans="2:3" ht="15.75">
      <c r="B398" s="311">
        <v>538</v>
      </c>
      <c r="C398" s="311">
        <v>0.93</v>
      </c>
    </row>
    <row r="399" spans="2:3" ht="15.75">
      <c r="B399" s="311">
        <v>539</v>
      </c>
      <c r="C399" s="311">
        <v>0.93</v>
      </c>
    </row>
    <row r="400" spans="2:3" ht="15.75">
      <c r="B400" s="311">
        <v>540</v>
      </c>
      <c r="C400" s="311">
        <v>0.93</v>
      </c>
    </row>
    <row r="401" spans="2:3" ht="15.75">
      <c r="B401" s="311">
        <v>541</v>
      </c>
      <c r="C401" s="311">
        <v>0.93</v>
      </c>
    </row>
    <row r="402" spans="2:3" ht="15.75">
      <c r="B402" s="311">
        <v>542</v>
      </c>
      <c r="C402" s="311">
        <v>0.93</v>
      </c>
    </row>
    <row r="403" spans="2:3" ht="15.75">
      <c r="B403" s="311">
        <v>543</v>
      </c>
      <c r="C403" s="311">
        <v>0.93</v>
      </c>
    </row>
    <row r="404" spans="2:3" ht="15.75">
      <c r="B404" s="311">
        <v>544</v>
      </c>
      <c r="C404" s="311">
        <v>0.93</v>
      </c>
    </row>
    <row r="405" spans="2:3" ht="15.75">
      <c r="B405" s="311">
        <v>545</v>
      </c>
      <c r="C405" s="311">
        <v>0.93</v>
      </c>
    </row>
    <row r="406" spans="2:3" ht="15.75">
      <c r="B406" s="311">
        <v>546</v>
      </c>
      <c r="C406" s="311">
        <v>0.93</v>
      </c>
    </row>
    <row r="407" spans="2:3" ht="15.75">
      <c r="B407" s="311">
        <v>547</v>
      </c>
      <c r="C407" s="311">
        <v>0.89</v>
      </c>
    </row>
    <row r="408" spans="2:3" ht="15.75">
      <c r="B408" s="311">
        <v>548</v>
      </c>
      <c r="C408" s="311">
        <v>0.89</v>
      </c>
    </row>
    <row r="409" spans="2:3" ht="15.75">
      <c r="B409" s="311">
        <v>549</v>
      </c>
      <c r="C409" s="311">
        <v>0.89</v>
      </c>
    </row>
    <row r="410" spans="2:3" ht="15.75">
      <c r="B410" s="311">
        <v>550</v>
      </c>
      <c r="C410" s="311">
        <v>0.89</v>
      </c>
    </row>
    <row r="411" spans="2:3" ht="15.75">
      <c r="B411" s="311">
        <v>551</v>
      </c>
      <c r="C411" s="311">
        <v>0.89</v>
      </c>
    </row>
    <row r="412" spans="2:3" ht="15.75">
      <c r="B412" s="311">
        <v>552</v>
      </c>
      <c r="C412" s="311">
        <v>0.89</v>
      </c>
    </row>
    <row r="413" spans="2:3" ht="15.75">
      <c r="B413" s="311">
        <v>553</v>
      </c>
      <c r="C413" s="311">
        <v>0.89</v>
      </c>
    </row>
    <row r="414" spans="2:3" ht="15.75">
      <c r="B414" s="311">
        <v>554</v>
      </c>
      <c r="C414" s="311">
        <v>0.89</v>
      </c>
    </row>
    <row r="415" spans="2:3" ht="15.75">
      <c r="B415" s="311">
        <v>555</v>
      </c>
      <c r="C415" s="311">
        <v>0.89</v>
      </c>
    </row>
    <row r="416" spans="2:3" ht="15.75">
      <c r="B416" s="311">
        <v>556</v>
      </c>
      <c r="C416" s="311">
        <v>0.89</v>
      </c>
    </row>
    <row r="417" spans="2:3" ht="15.75">
      <c r="B417" s="311">
        <v>557</v>
      </c>
      <c r="C417" s="311">
        <v>0.89</v>
      </c>
    </row>
    <row r="418" spans="2:3" ht="15.75">
      <c r="B418" s="311">
        <v>558</v>
      </c>
      <c r="C418" s="311">
        <v>0.89</v>
      </c>
    </row>
    <row r="419" spans="2:3" ht="15.75">
      <c r="B419" s="311">
        <v>559</v>
      </c>
      <c r="C419" s="311">
        <v>0.89</v>
      </c>
    </row>
    <row r="420" spans="2:3" ht="15.75">
      <c r="B420" s="311">
        <v>560</v>
      </c>
      <c r="C420" s="311">
        <v>0.86</v>
      </c>
    </row>
    <row r="421" spans="2:3" ht="15.75">
      <c r="B421" s="311">
        <v>561</v>
      </c>
      <c r="C421" s="311">
        <v>0.86</v>
      </c>
    </row>
    <row r="422" spans="2:3" ht="15.75">
      <c r="B422" s="311">
        <v>562</v>
      </c>
      <c r="C422" s="311">
        <v>0.86</v>
      </c>
    </row>
    <row r="423" spans="2:3" ht="15.75">
      <c r="B423" s="311">
        <v>563</v>
      </c>
      <c r="C423" s="311">
        <v>0.86</v>
      </c>
    </row>
    <row r="424" spans="2:3" ht="15.75">
      <c r="B424" s="311">
        <v>564</v>
      </c>
      <c r="C424" s="311">
        <v>0.86</v>
      </c>
    </row>
    <row r="425" spans="2:3" ht="15.75">
      <c r="B425" s="311">
        <v>565</v>
      </c>
      <c r="C425" s="311">
        <v>0.86</v>
      </c>
    </row>
    <row r="426" spans="2:3" ht="15.75">
      <c r="B426" s="311">
        <v>566</v>
      </c>
      <c r="C426" s="311">
        <v>0.86</v>
      </c>
    </row>
    <row r="427" spans="2:3" ht="15.75">
      <c r="B427" s="311">
        <v>567</v>
      </c>
      <c r="C427" s="311">
        <v>0.86</v>
      </c>
    </row>
    <row r="428" spans="2:3" ht="15.75">
      <c r="B428" s="311">
        <v>568</v>
      </c>
      <c r="C428" s="311">
        <v>0.86</v>
      </c>
    </row>
    <row r="429" spans="2:3" ht="15.75">
      <c r="B429" s="311">
        <v>569</v>
      </c>
      <c r="C429" s="311">
        <v>0.86</v>
      </c>
    </row>
    <row r="430" spans="2:3" ht="15.75">
      <c r="B430" s="311">
        <v>570</v>
      </c>
      <c r="C430" s="311">
        <v>0.86</v>
      </c>
    </row>
    <row r="431" spans="2:3" ht="15.75">
      <c r="B431" s="311">
        <v>571</v>
      </c>
      <c r="C431" s="311">
        <v>0.86</v>
      </c>
    </row>
    <row r="432" spans="2:3" ht="15.75">
      <c r="B432" s="311">
        <v>572</v>
      </c>
      <c r="C432" s="311">
        <v>0.86</v>
      </c>
    </row>
    <row r="433" spans="2:3" ht="15.75">
      <c r="B433" s="311">
        <v>573</v>
      </c>
      <c r="C433" s="311">
        <v>0.86</v>
      </c>
    </row>
    <row r="434" spans="2:3" ht="15.75">
      <c r="B434" s="311">
        <v>574</v>
      </c>
      <c r="C434" s="311">
        <v>0.83</v>
      </c>
    </row>
    <row r="435" spans="2:3" ht="15.75">
      <c r="B435" s="311">
        <v>575</v>
      </c>
      <c r="C435" s="311">
        <v>0.83</v>
      </c>
    </row>
    <row r="436" spans="2:3" ht="15.75">
      <c r="B436" s="311">
        <v>576</v>
      </c>
      <c r="C436" s="311">
        <v>0.83</v>
      </c>
    </row>
    <row r="437" spans="2:3" ht="15.75">
      <c r="B437" s="311">
        <v>577</v>
      </c>
      <c r="C437" s="311">
        <v>0.83</v>
      </c>
    </row>
    <row r="438" spans="2:3" ht="15.75">
      <c r="B438" s="311">
        <v>578</v>
      </c>
      <c r="C438" s="311">
        <v>0.83</v>
      </c>
    </row>
    <row r="439" spans="2:3" ht="15.75">
      <c r="B439" s="311">
        <v>579</v>
      </c>
      <c r="C439" s="311">
        <v>0.83</v>
      </c>
    </row>
    <row r="440" spans="2:3" ht="15.75">
      <c r="B440" s="311">
        <v>580</v>
      </c>
      <c r="C440" s="311">
        <v>0.83</v>
      </c>
    </row>
    <row r="441" spans="2:3" ht="15.75">
      <c r="B441" s="311">
        <v>581</v>
      </c>
      <c r="C441" s="311">
        <v>0.83</v>
      </c>
    </row>
    <row r="442" spans="2:3" ht="15.75">
      <c r="B442" s="311">
        <v>582</v>
      </c>
      <c r="C442" s="311">
        <v>0.83</v>
      </c>
    </row>
    <row r="443" spans="2:3" ht="15.75">
      <c r="B443" s="311">
        <v>583</v>
      </c>
      <c r="C443" s="311">
        <v>0.83</v>
      </c>
    </row>
    <row r="444" spans="2:3" ht="15.75">
      <c r="B444" s="311">
        <v>584</v>
      </c>
      <c r="C444" s="311">
        <v>0.83</v>
      </c>
    </row>
    <row r="445" spans="2:3" ht="15.75">
      <c r="B445" s="311">
        <v>585</v>
      </c>
      <c r="C445" s="311">
        <v>0.83</v>
      </c>
    </row>
    <row r="446" spans="2:3" ht="15.75">
      <c r="B446" s="311">
        <v>586</v>
      </c>
      <c r="C446" s="311">
        <v>0.81</v>
      </c>
    </row>
    <row r="447" spans="2:3" ht="15.75">
      <c r="B447" s="311">
        <v>587</v>
      </c>
      <c r="C447" s="311">
        <v>0.81</v>
      </c>
    </row>
    <row r="448" spans="2:3" ht="15.75">
      <c r="B448" s="311">
        <v>588</v>
      </c>
      <c r="C448" s="311">
        <v>0.81</v>
      </c>
    </row>
    <row r="449" spans="2:3" ht="15.75">
      <c r="B449" s="311">
        <v>589</v>
      </c>
      <c r="C449" s="311">
        <v>0.81</v>
      </c>
    </row>
    <row r="450" spans="2:3" ht="15.75">
      <c r="B450" s="311">
        <v>590</v>
      </c>
      <c r="C450" s="311">
        <v>0.81</v>
      </c>
    </row>
    <row r="451" spans="2:3" ht="15.75">
      <c r="B451" s="311">
        <v>591</v>
      </c>
      <c r="C451" s="311">
        <v>0.81</v>
      </c>
    </row>
    <row r="452" spans="2:3" ht="15.75">
      <c r="B452" s="311">
        <v>592</v>
      </c>
      <c r="C452" s="311">
        <v>0.81</v>
      </c>
    </row>
    <row r="453" spans="2:3" ht="15.75">
      <c r="B453" s="311">
        <v>593</v>
      </c>
      <c r="C453" s="311">
        <v>0.81</v>
      </c>
    </row>
    <row r="454" spans="2:3" ht="15.75">
      <c r="B454" s="311">
        <v>594</v>
      </c>
      <c r="C454" s="311">
        <v>0.81</v>
      </c>
    </row>
    <row r="455" spans="2:3" ht="15.75">
      <c r="B455" s="311">
        <v>595</v>
      </c>
      <c r="C455" s="311">
        <v>0.81</v>
      </c>
    </row>
    <row r="456" spans="2:3" ht="15.75">
      <c r="B456" s="311">
        <v>596</v>
      </c>
      <c r="C456" s="311">
        <v>0.81</v>
      </c>
    </row>
    <row r="457" spans="2:3" ht="15.75">
      <c r="B457" s="311">
        <v>597</v>
      </c>
      <c r="C457" s="311">
        <v>0.81</v>
      </c>
    </row>
    <row r="458" spans="2:3" ht="15.75">
      <c r="B458" s="311">
        <v>598</v>
      </c>
      <c r="C458" s="311">
        <v>0.81</v>
      </c>
    </row>
    <row r="459" spans="2:3" ht="15.75">
      <c r="B459" s="311">
        <v>599</v>
      </c>
      <c r="C459" s="311">
        <v>0.78</v>
      </c>
    </row>
    <row r="460" spans="2:3" ht="15.75">
      <c r="B460" s="311">
        <v>600</v>
      </c>
      <c r="C460" s="311">
        <v>0.78</v>
      </c>
    </row>
    <row r="461" spans="2:3" ht="15.75">
      <c r="B461" s="311">
        <v>601</v>
      </c>
      <c r="C461" s="311">
        <v>0.78</v>
      </c>
    </row>
    <row r="462" spans="2:3" ht="15.75">
      <c r="B462" s="311">
        <v>602</v>
      </c>
      <c r="C462" s="311">
        <v>0.78</v>
      </c>
    </row>
    <row r="463" spans="2:3" ht="15.75">
      <c r="B463" s="311">
        <v>603</v>
      </c>
      <c r="C463" s="311">
        <v>0.78</v>
      </c>
    </row>
    <row r="464" spans="2:3" ht="15.75">
      <c r="B464" s="311">
        <v>604</v>
      </c>
      <c r="C464" s="311">
        <v>0.78</v>
      </c>
    </row>
    <row r="465" spans="2:3" ht="15.75">
      <c r="B465" s="311">
        <v>605</v>
      </c>
      <c r="C465" s="311">
        <v>0.78</v>
      </c>
    </row>
    <row r="466" spans="2:3" ht="15.75">
      <c r="B466" s="311">
        <v>606</v>
      </c>
      <c r="C466" s="311">
        <v>0.78</v>
      </c>
    </row>
    <row r="467" spans="2:3" ht="15.75">
      <c r="B467" s="311">
        <v>607</v>
      </c>
      <c r="C467" s="311">
        <v>0.78</v>
      </c>
    </row>
    <row r="468" spans="2:3" ht="15.75">
      <c r="B468" s="311">
        <v>608</v>
      </c>
      <c r="C468" s="311">
        <v>0.78</v>
      </c>
    </row>
    <row r="469" spans="2:3" ht="15.75">
      <c r="B469" s="311">
        <v>609</v>
      </c>
      <c r="C469" s="311">
        <v>0.78</v>
      </c>
    </row>
    <row r="470" spans="2:3" ht="15.75">
      <c r="B470" s="311">
        <v>610</v>
      </c>
      <c r="C470" s="311">
        <v>0.78</v>
      </c>
    </row>
    <row r="471" spans="2:3" ht="15.75">
      <c r="B471" s="311">
        <v>611</v>
      </c>
      <c r="C471" s="311">
        <v>0.76</v>
      </c>
    </row>
    <row r="472" spans="2:3" ht="15.75">
      <c r="B472" s="311">
        <v>612</v>
      </c>
      <c r="C472" s="311">
        <v>0.76</v>
      </c>
    </row>
    <row r="473" spans="2:3" ht="15.75">
      <c r="B473" s="311">
        <v>613</v>
      </c>
      <c r="C473" s="311">
        <v>0.76</v>
      </c>
    </row>
    <row r="474" spans="2:3" ht="15.75">
      <c r="B474" s="311">
        <v>614</v>
      </c>
      <c r="C474" s="311">
        <v>0.76</v>
      </c>
    </row>
    <row r="475" spans="2:3" ht="15.75">
      <c r="B475" s="311">
        <v>615</v>
      </c>
      <c r="C475" s="311">
        <v>0.76</v>
      </c>
    </row>
    <row r="476" spans="2:3" ht="15.75">
      <c r="B476" s="311">
        <v>616</v>
      </c>
      <c r="C476" s="311">
        <v>0.76</v>
      </c>
    </row>
    <row r="477" spans="2:3" ht="15.75">
      <c r="B477" s="311">
        <v>617</v>
      </c>
      <c r="C477" s="311">
        <v>0.76</v>
      </c>
    </row>
    <row r="478" spans="2:3" ht="15.75">
      <c r="B478" s="311">
        <v>618</v>
      </c>
      <c r="C478" s="311">
        <v>0.76</v>
      </c>
    </row>
    <row r="479" spans="2:3" ht="15.75">
      <c r="B479" s="311">
        <v>619</v>
      </c>
      <c r="C479" s="311">
        <v>0.76</v>
      </c>
    </row>
    <row r="480" spans="2:3" ht="15.75">
      <c r="B480" s="311">
        <v>620</v>
      </c>
      <c r="C480" s="311">
        <v>0.76</v>
      </c>
    </row>
    <row r="481" spans="2:3" ht="15.75">
      <c r="B481" s="311">
        <v>621</v>
      </c>
      <c r="C481" s="311">
        <v>0.76</v>
      </c>
    </row>
    <row r="482" spans="2:3" ht="15.75">
      <c r="B482" s="311">
        <v>622</v>
      </c>
      <c r="C482" s="311">
        <v>0.76</v>
      </c>
    </row>
    <row r="483" spans="2:3" ht="15.75">
      <c r="B483" s="311">
        <v>623</v>
      </c>
      <c r="C483" s="311">
        <v>0.76</v>
      </c>
    </row>
    <row r="484" spans="2:3" ht="15.75">
      <c r="B484" s="311">
        <v>624</v>
      </c>
      <c r="C484" s="311">
        <v>0.76</v>
      </c>
    </row>
    <row r="485" spans="2:3" ht="15.75">
      <c r="B485" s="311">
        <v>625</v>
      </c>
      <c r="C485" s="311">
        <v>0.76</v>
      </c>
    </row>
    <row r="486" spans="2:3" ht="15.75">
      <c r="B486" s="311">
        <v>1608</v>
      </c>
      <c r="C486" s="311">
        <v>1.12</v>
      </c>
    </row>
    <row r="487" spans="2:3" ht="15.75">
      <c r="B487" s="311">
        <v>1609</v>
      </c>
      <c r="C487" s="311">
        <v>1.12</v>
      </c>
    </row>
    <row r="488" spans="2:3" ht="15.75">
      <c r="B488" s="311">
        <v>1610</v>
      </c>
      <c r="C488" s="311">
        <v>1.12</v>
      </c>
    </row>
    <row r="489" spans="2:3" ht="15.75">
      <c r="B489" s="311">
        <v>1611</v>
      </c>
      <c r="C489" s="311">
        <v>1.12</v>
      </c>
    </row>
    <row r="490" spans="2:3" ht="15.75">
      <c r="B490" s="311">
        <v>1612</v>
      </c>
      <c r="C490" s="311">
        <v>1.12</v>
      </c>
    </row>
    <row r="491" spans="2:3" ht="15.75">
      <c r="B491" s="311">
        <v>1613</v>
      </c>
      <c r="C491" s="311">
        <v>1.12</v>
      </c>
    </row>
    <row r="492" spans="2:3" ht="15.75">
      <c r="B492" s="311">
        <v>1614</v>
      </c>
      <c r="C492" s="311">
        <v>1.12</v>
      </c>
    </row>
    <row r="493" spans="2:3" ht="15.75">
      <c r="B493" s="311">
        <v>1615</v>
      </c>
      <c r="C493" s="311">
        <v>1.12</v>
      </c>
    </row>
    <row r="494" spans="2:3" ht="15.75">
      <c r="B494" s="311">
        <v>1616</v>
      </c>
      <c r="C494" s="311">
        <v>1.12</v>
      </c>
    </row>
    <row r="495" spans="2:3" ht="15.75">
      <c r="B495" s="311">
        <v>1617</v>
      </c>
      <c r="C495" s="311">
        <v>1.12</v>
      </c>
    </row>
    <row r="496" spans="2:3" ht="15.75">
      <c r="B496" s="311">
        <v>1618</v>
      </c>
      <c r="C496" s="311">
        <v>1.12</v>
      </c>
    </row>
    <row r="497" spans="2:3" ht="15.75">
      <c r="B497" s="311">
        <v>1619</v>
      </c>
      <c r="C497" s="311">
        <v>1.12</v>
      </c>
    </row>
    <row r="498" spans="2:3" ht="15.75">
      <c r="B498" s="311">
        <v>1620</v>
      </c>
      <c r="C498" s="311">
        <v>1.12</v>
      </c>
    </row>
    <row r="499" spans="2:3" ht="15.75">
      <c r="B499" s="311">
        <v>1621</v>
      </c>
      <c r="C499" s="311">
        <v>1.12</v>
      </c>
    </row>
    <row r="500" spans="2:3" ht="15.75">
      <c r="B500" s="311">
        <v>1622</v>
      </c>
      <c r="C500" s="311">
        <v>1.12</v>
      </c>
    </row>
    <row r="501" spans="2:3" ht="15.75">
      <c r="B501" s="311">
        <v>1623</v>
      </c>
      <c r="C501" s="311">
        <v>1.12</v>
      </c>
    </row>
    <row r="502" spans="2:3" ht="15.75">
      <c r="B502" s="311">
        <v>1624</v>
      </c>
      <c r="C502" s="311">
        <v>1.12</v>
      </c>
    </row>
    <row r="503" spans="2:3" ht="15.75">
      <c r="B503" s="311">
        <v>1625</v>
      </c>
      <c r="C503" s="311">
        <v>1.12</v>
      </c>
    </row>
    <row r="504" spans="2:3" ht="15.75">
      <c r="B504" s="311">
        <v>1626</v>
      </c>
      <c r="C504" s="311">
        <v>1.12</v>
      </c>
    </row>
    <row r="505" spans="2:3" ht="15.75">
      <c r="B505" s="311">
        <v>1627</v>
      </c>
      <c r="C505" s="311">
        <v>1.12</v>
      </c>
    </row>
    <row r="506" spans="2:3" ht="15.75">
      <c r="B506" s="311">
        <v>1628</v>
      </c>
      <c r="C506" s="311">
        <v>1.12</v>
      </c>
    </row>
    <row r="507" spans="2:3" ht="15.75">
      <c r="B507" s="311">
        <v>1629</v>
      </c>
      <c r="C507" s="311">
        <v>1.12</v>
      </c>
    </row>
    <row r="508" spans="2:3" ht="15.75">
      <c r="B508" s="311">
        <v>1630</v>
      </c>
      <c r="C508" s="311">
        <v>1.12</v>
      </c>
    </row>
    <row r="509" spans="2:3" ht="15.75">
      <c r="B509" s="311">
        <v>1631</v>
      </c>
      <c r="C509" s="311">
        <v>1.12</v>
      </c>
    </row>
    <row r="510" spans="2:3" ht="15.75">
      <c r="B510" s="311">
        <v>1632</v>
      </c>
      <c r="C510" s="311">
        <v>1.12</v>
      </c>
    </row>
    <row r="511" spans="2:3" ht="15.75">
      <c r="B511" s="311">
        <v>1633</v>
      </c>
      <c r="C511" s="311">
        <v>1.12</v>
      </c>
    </row>
    <row r="512" spans="2:3" ht="15.75">
      <c r="B512" s="311">
        <v>1634</v>
      </c>
      <c r="C512" s="311">
        <v>1.12</v>
      </c>
    </row>
    <row r="513" spans="2:3" ht="15.75">
      <c r="B513" s="311">
        <v>1635</v>
      </c>
      <c r="C513" s="311">
        <v>1.12</v>
      </c>
    </row>
    <row r="514" spans="2:3" ht="15.75">
      <c r="B514" s="311">
        <v>1636</v>
      </c>
      <c r="C514" s="311">
        <v>1.12</v>
      </c>
    </row>
    <row r="515" spans="2:3" ht="15.75">
      <c r="B515" s="311">
        <v>1637</v>
      </c>
      <c r="C515" s="311">
        <v>1.09</v>
      </c>
    </row>
    <row r="516" spans="2:3" ht="15.75">
      <c r="B516" s="311">
        <v>1638</v>
      </c>
      <c r="C516" s="311">
        <v>1.09</v>
      </c>
    </row>
    <row r="517" spans="2:3" ht="15.75">
      <c r="B517" s="311">
        <v>1639</v>
      </c>
      <c r="C517" s="311">
        <v>1.09</v>
      </c>
    </row>
    <row r="518" spans="2:3" ht="15.75">
      <c r="B518" s="311">
        <v>1640</v>
      </c>
      <c r="C518" s="311">
        <v>1.09</v>
      </c>
    </row>
    <row r="519" spans="2:3" ht="15.75">
      <c r="B519" s="311">
        <v>1641</v>
      </c>
      <c r="C519" s="311">
        <v>1.09</v>
      </c>
    </row>
    <row r="520" spans="2:3" ht="15.75">
      <c r="B520" s="311">
        <v>1642</v>
      </c>
      <c r="C520" s="311">
        <v>1.09</v>
      </c>
    </row>
    <row r="521" spans="2:3" ht="15.75">
      <c r="B521" s="311">
        <v>1643</v>
      </c>
      <c r="C521" s="311">
        <v>1.09</v>
      </c>
    </row>
    <row r="522" spans="2:3" ht="15.75">
      <c r="B522" s="311">
        <v>1644</v>
      </c>
      <c r="C522" s="311">
        <v>1.09</v>
      </c>
    </row>
    <row r="523" spans="2:3" ht="15.75">
      <c r="B523" s="311">
        <v>1645</v>
      </c>
      <c r="C523" s="311">
        <v>1.09</v>
      </c>
    </row>
    <row r="524" spans="2:3" ht="15.75">
      <c r="B524" s="311">
        <v>1646</v>
      </c>
      <c r="C524" s="311">
        <v>1.09</v>
      </c>
    </row>
    <row r="525" spans="2:3" ht="15.75">
      <c r="B525" s="311">
        <v>1647</v>
      </c>
      <c r="C525" s="311">
        <v>1.09</v>
      </c>
    </row>
    <row r="526" spans="2:3" ht="15.75">
      <c r="B526" s="311">
        <v>1648</v>
      </c>
      <c r="C526" s="311">
        <v>1.09</v>
      </c>
    </row>
    <row r="527" spans="2:3" ht="15.75">
      <c r="B527" s="311">
        <v>1649</v>
      </c>
      <c r="C527" s="311">
        <v>1.09</v>
      </c>
    </row>
    <row r="528" spans="2:3" ht="15.75">
      <c r="B528" s="311">
        <v>1650</v>
      </c>
      <c r="C528" s="311">
        <v>1.09</v>
      </c>
    </row>
    <row r="529" spans="2:3" ht="15.75">
      <c r="B529" s="311">
        <v>1651</v>
      </c>
      <c r="C529" s="311">
        <v>1.09</v>
      </c>
    </row>
    <row r="530" spans="2:3" ht="15.75">
      <c r="B530" s="311">
        <v>1652</v>
      </c>
      <c r="C530" s="311">
        <v>1.09</v>
      </c>
    </row>
    <row r="531" spans="2:3" ht="15.75">
      <c r="B531" s="311">
        <v>1653</v>
      </c>
      <c r="C531" s="311">
        <v>1.09</v>
      </c>
    </row>
    <row r="532" spans="2:3" ht="15.75">
      <c r="B532" s="311">
        <v>1654</v>
      </c>
      <c r="C532" s="311">
        <v>1.09</v>
      </c>
    </row>
    <row r="533" spans="2:3" ht="15.75">
      <c r="B533" s="311">
        <v>1655</v>
      </c>
      <c r="C533" s="311">
        <v>1.09</v>
      </c>
    </row>
    <row r="534" spans="2:3" ht="15.75">
      <c r="B534" s="311">
        <v>1656</v>
      </c>
      <c r="C534" s="311">
        <v>1.09</v>
      </c>
    </row>
    <row r="535" spans="2:3" ht="15.75">
      <c r="B535" s="311">
        <v>1657</v>
      </c>
      <c r="C535" s="311">
        <v>1.09</v>
      </c>
    </row>
    <row r="536" spans="2:3" ht="15.75">
      <c r="B536" s="311">
        <v>1658</v>
      </c>
      <c r="C536" s="311">
        <v>1.09</v>
      </c>
    </row>
    <row r="537" spans="2:3" ht="15.75">
      <c r="B537" s="311">
        <v>1659</v>
      </c>
      <c r="C537" s="311">
        <v>1.09</v>
      </c>
    </row>
    <row r="538" spans="2:3" ht="15.75">
      <c r="B538" s="311">
        <v>1660</v>
      </c>
      <c r="C538" s="311">
        <v>1.09</v>
      </c>
    </row>
    <row r="539" spans="2:3" ht="15.75">
      <c r="B539" s="311">
        <v>1661</v>
      </c>
      <c r="C539" s="311">
        <v>1.09</v>
      </c>
    </row>
    <row r="540" spans="2:3" ht="15.75">
      <c r="B540" s="311">
        <v>1662</v>
      </c>
      <c r="C540" s="311">
        <v>1.09</v>
      </c>
    </row>
    <row r="541" spans="2:3" ht="15.75">
      <c r="B541" s="311">
        <v>1663</v>
      </c>
      <c r="C541" s="311">
        <v>1.09</v>
      </c>
    </row>
    <row r="542" spans="2:3" ht="15.75">
      <c r="B542" s="311">
        <v>1664</v>
      </c>
      <c r="C542" s="311">
        <v>1.09</v>
      </c>
    </row>
    <row r="543" spans="2:3" ht="15.75">
      <c r="B543" s="311">
        <v>1665</v>
      </c>
      <c r="C543" s="311">
        <v>1.09</v>
      </c>
    </row>
    <row r="544" spans="2:3" ht="15.75">
      <c r="B544" s="311">
        <v>1666</v>
      </c>
      <c r="C544" s="311">
        <v>1.06</v>
      </c>
    </row>
    <row r="545" spans="2:3" ht="15.75">
      <c r="B545" s="311">
        <v>1667</v>
      </c>
      <c r="C545" s="311">
        <v>1.06</v>
      </c>
    </row>
    <row r="546" spans="2:3" ht="15.75">
      <c r="B546" s="311">
        <v>1668</v>
      </c>
      <c r="C546" s="311">
        <v>1.06</v>
      </c>
    </row>
    <row r="547" spans="2:3" ht="15.75">
      <c r="B547" s="311">
        <v>1669</v>
      </c>
      <c r="C547" s="311">
        <v>1.06</v>
      </c>
    </row>
    <row r="548" spans="2:3" ht="15.75">
      <c r="B548" s="311">
        <v>1670</v>
      </c>
      <c r="C548" s="311">
        <v>1.06</v>
      </c>
    </row>
    <row r="549" spans="2:3" ht="15.75">
      <c r="B549" s="311">
        <v>1671</v>
      </c>
      <c r="C549" s="311">
        <v>1.06</v>
      </c>
    </row>
    <row r="550" spans="2:3" ht="15.75">
      <c r="B550" s="311">
        <v>1672</v>
      </c>
      <c r="C550" s="311">
        <v>1.06</v>
      </c>
    </row>
    <row r="551" spans="2:3" ht="15.75">
      <c r="B551" s="311">
        <v>1673</v>
      </c>
      <c r="C551" s="311">
        <v>1.06</v>
      </c>
    </row>
    <row r="552" spans="2:3" ht="15.75">
      <c r="B552" s="311">
        <v>1674</v>
      </c>
      <c r="C552" s="311">
        <v>1.06</v>
      </c>
    </row>
    <row r="553" spans="2:3" ht="15.75">
      <c r="B553" s="311">
        <v>1675</v>
      </c>
      <c r="C553" s="311">
        <v>1.06</v>
      </c>
    </row>
    <row r="554" spans="2:3" ht="15.75">
      <c r="B554" s="311">
        <v>1676</v>
      </c>
      <c r="C554" s="311">
        <v>1.06</v>
      </c>
    </row>
    <row r="555" spans="2:3" ht="15.75">
      <c r="B555" s="311">
        <v>1677</v>
      </c>
      <c r="C555" s="311">
        <v>1.06</v>
      </c>
    </row>
    <row r="556" spans="2:3" ht="15.75">
      <c r="B556" s="311">
        <v>1678</v>
      </c>
      <c r="C556" s="311">
        <v>1.06</v>
      </c>
    </row>
    <row r="557" spans="2:3" ht="15.75">
      <c r="B557" s="311">
        <v>1679</v>
      </c>
      <c r="C557" s="311">
        <v>1.06</v>
      </c>
    </row>
    <row r="558" spans="2:3" ht="15.75">
      <c r="B558" s="311">
        <v>1680</v>
      </c>
      <c r="C558" s="311">
        <v>1.06</v>
      </c>
    </row>
    <row r="559" spans="2:3" ht="15.75">
      <c r="B559" s="311">
        <v>1681</v>
      </c>
      <c r="C559" s="311">
        <v>1.06</v>
      </c>
    </row>
    <row r="560" spans="2:3" ht="15.75">
      <c r="B560" s="311">
        <v>1682</v>
      </c>
      <c r="C560" s="311">
        <v>1.06</v>
      </c>
    </row>
    <row r="561" spans="2:3" ht="15.75">
      <c r="B561" s="311">
        <v>1683</v>
      </c>
      <c r="C561" s="311">
        <v>1.06</v>
      </c>
    </row>
    <row r="562" spans="2:3" ht="15.75">
      <c r="B562" s="311">
        <v>1684</v>
      </c>
      <c r="C562" s="311">
        <v>1.06</v>
      </c>
    </row>
    <row r="563" spans="2:3" ht="15.75">
      <c r="B563" s="311">
        <v>1685</v>
      </c>
      <c r="C563" s="311">
        <v>1.06</v>
      </c>
    </row>
    <row r="564" spans="2:3" ht="15.75">
      <c r="B564" s="311">
        <v>1686</v>
      </c>
      <c r="C564" s="311">
        <v>1.06</v>
      </c>
    </row>
    <row r="565" spans="2:3" ht="15.75">
      <c r="B565" s="311">
        <v>1687</v>
      </c>
      <c r="C565" s="311">
        <v>1.06</v>
      </c>
    </row>
    <row r="566" spans="2:3" ht="15.75">
      <c r="B566" s="311">
        <v>1688</v>
      </c>
      <c r="C566" s="311">
        <v>1.06</v>
      </c>
    </row>
    <row r="567" spans="2:3" ht="15.75">
      <c r="B567" s="311">
        <v>1689</v>
      </c>
      <c r="C567" s="311">
        <v>1.06</v>
      </c>
    </row>
    <row r="568" spans="2:3" ht="15.75">
      <c r="B568" s="311">
        <v>1690</v>
      </c>
      <c r="C568" s="311">
        <v>1.06</v>
      </c>
    </row>
    <row r="569" spans="2:3" ht="15.75">
      <c r="B569" s="311">
        <v>1691</v>
      </c>
      <c r="C569" s="311">
        <v>1.06</v>
      </c>
    </row>
    <row r="570" spans="2:3" ht="15.75">
      <c r="B570" s="311">
        <v>1692</v>
      </c>
      <c r="C570" s="311">
        <v>1.06</v>
      </c>
    </row>
    <row r="571" spans="2:3" ht="15.75">
      <c r="B571" s="311">
        <v>1693</v>
      </c>
      <c r="C571" s="311">
        <v>1.06</v>
      </c>
    </row>
    <row r="572" spans="2:3" ht="15.75">
      <c r="B572" s="311">
        <v>1694</v>
      </c>
      <c r="C572" s="311">
        <v>1.06</v>
      </c>
    </row>
    <row r="573" spans="2:3" ht="15.75">
      <c r="B573" s="311">
        <v>1695</v>
      </c>
      <c r="C573" s="311">
        <v>1.03</v>
      </c>
    </row>
    <row r="574" spans="2:3" ht="15.75">
      <c r="B574" s="311">
        <v>1696</v>
      </c>
      <c r="C574" s="311">
        <v>1.03</v>
      </c>
    </row>
    <row r="575" spans="2:3" ht="15.75">
      <c r="B575" s="311">
        <v>1697</v>
      </c>
      <c r="C575" s="311">
        <v>1.03</v>
      </c>
    </row>
    <row r="576" spans="2:3" ht="15.75">
      <c r="B576" s="311">
        <v>1698</v>
      </c>
      <c r="C576" s="311">
        <v>1.03</v>
      </c>
    </row>
    <row r="577" spans="2:3" ht="15.75">
      <c r="B577" s="311">
        <v>1699</v>
      </c>
      <c r="C577" s="311">
        <v>1.03</v>
      </c>
    </row>
    <row r="578" spans="2:3" ht="15.75">
      <c r="B578" s="311">
        <v>1700</v>
      </c>
      <c r="C578" s="311">
        <v>1.03</v>
      </c>
    </row>
    <row r="579" spans="2:3" ht="15.75">
      <c r="B579" s="311">
        <v>1701</v>
      </c>
      <c r="C579" s="311">
        <v>1.03</v>
      </c>
    </row>
    <row r="580" spans="2:3" ht="15.75">
      <c r="B580" s="311">
        <v>1702</v>
      </c>
      <c r="C580" s="311">
        <v>1.03</v>
      </c>
    </row>
    <row r="581" spans="2:3" ht="15.75">
      <c r="B581" s="311">
        <v>1703</v>
      </c>
      <c r="C581" s="311">
        <v>1.03</v>
      </c>
    </row>
    <row r="582" spans="2:3" ht="15.75">
      <c r="B582" s="311">
        <v>1704</v>
      </c>
      <c r="C582" s="311">
        <v>1.03</v>
      </c>
    </row>
    <row r="583" spans="2:3" ht="15.75">
      <c r="B583" s="311">
        <v>1705</v>
      </c>
      <c r="C583" s="311">
        <v>1.03</v>
      </c>
    </row>
    <row r="584" spans="2:3" ht="15.75">
      <c r="B584" s="311">
        <v>1706</v>
      </c>
      <c r="C584" s="311">
        <v>1.03</v>
      </c>
    </row>
    <row r="585" spans="2:3" ht="15.75">
      <c r="B585" s="311">
        <v>1707</v>
      </c>
      <c r="C585" s="311">
        <v>1.03</v>
      </c>
    </row>
    <row r="586" spans="2:3" ht="15.75">
      <c r="B586" s="311">
        <v>1708</v>
      </c>
      <c r="C586" s="311">
        <v>1.03</v>
      </c>
    </row>
    <row r="587" spans="2:3" ht="15.75">
      <c r="B587" s="311">
        <v>1709</v>
      </c>
      <c r="C587" s="311">
        <v>1.03</v>
      </c>
    </row>
    <row r="588" spans="2:3" ht="15.75">
      <c r="B588" s="311">
        <v>1710</v>
      </c>
      <c r="C588" s="311">
        <v>1.03</v>
      </c>
    </row>
    <row r="589" spans="2:3" ht="15.75">
      <c r="B589" s="311">
        <v>1711</v>
      </c>
      <c r="C589" s="311">
        <v>1.03</v>
      </c>
    </row>
    <row r="590" spans="2:3" ht="15.75">
      <c r="B590" s="311">
        <v>1712</v>
      </c>
      <c r="C590" s="311">
        <v>1.03</v>
      </c>
    </row>
    <row r="591" spans="2:3" ht="15.75">
      <c r="B591" s="311">
        <v>1713</v>
      </c>
      <c r="C591" s="311">
        <v>1.03</v>
      </c>
    </row>
    <row r="592" spans="2:3" ht="15.75">
      <c r="B592" s="311">
        <v>1714</v>
      </c>
      <c r="C592" s="311">
        <v>1.03</v>
      </c>
    </row>
    <row r="593" spans="2:3" ht="15.75">
      <c r="B593" s="311">
        <v>1715</v>
      </c>
      <c r="C593" s="311">
        <v>1.03</v>
      </c>
    </row>
    <row r="594" spans="2:3" ht="15.75">
      <c r="B594" s="311">
        <v>1716</v>
      </c>
      <c r="C594" s="311">
        <v>1.03</v>
      </c>
    </row>
    <row r="595" spans="2:3" ht="15.75">
      <c r="B595" s="311">
        <v>1717</v>
      </c>
      <c r="C595" s="311">
        <v>1.03</v>
      </c>
    </row>
    <row r="596" spans="2:3" ht="15.75">
      <c r="B596" s="311">
        <v>1718</v>
      </c>
      <c r="C596" s="311">
        <v>1.03</v>
      </c>
    </row>
    <row r="597" spans="2:3" ht="15.75">
      <c r="B597" s="311">
        <v>1719</v>
      </c>
      <c r="C597" s="311">
        <v>1.03</v>
      </c>
    </row>
    <row r="598" spans="2:3" ht="15.75">
      <c r="B598" s="311">
        <v>1720</v>
      </c>
      <c r="C598" s="311">
        <v>1.03</v>
      </c>
    </row>
    <row r="599" spans="2:3" ht="15.75">
      <c r="B599" s="311">
        <v>1721</v>
      </c>
      <c r="C599" s="311">
        <v>1.03</v>
      </c>
    </row>
    <row r="600" spans="2:3" ht="15.75">
      <c r="B600" s="311">
        <v>1722</v>
      </c>
      <c r="C600" s="311">
        <v>1.03</v>
      </c>
    </row>
    <row r="601" spans="2:3" ht="15.75">
      <c r="B601" s="311">
        <v>1723</v>
      </c>
      <c r="C601" s="311">
        <v>1.03</v>
      </c>
    </row>
    <row r="602" spans="2:3" ht="15.75">
      <c r="B602" s="311">
        <v>1724</v>
      </c>
      <c r="C602" s="311">
        <v>1</v>
      </c>
    </row>
    <row r="603" spans="2:3" ht="15.75">
      <c r="B603" s="311">
        <v>1725</v>
      </c>
      <c r="C603" s="311">
        <v>1</v>
      </c>
    </row>
    <row r="604" spans="2:3" ht="15.75">
      <c r="B604" s="311">
        <v>1726</v>
      </c>
      <c r="C604" s="311">
        <v>1</v>
      </c>
    </row>
    <row r="605" spans="2:3" ht="15.75">
      <c r="B605" s="311">
        <v>1727</v>
      </c>
      <c r="C605" s="311">
        <v>1</v>
      </c>
    </row>
    <row r="606" spans="2:3" ht="15.75">
      <c r="B606" s="311">
        <v>1728</v>
      </c>
      <c r="C606" s="311">
        <v>1</v>
      </c>
    </row>
    <row r="607" spans="2:3" ht="15.75">
      <c r="B607" s="311">
        <v>1729</v>
      </c>
      <c r="C607" s="311">
        <v>1</v>
      </c>
    </row>
    <row r="608" spans="2:3" ht="15.75">
      <c r="B608" s="311">
        <v>1730</v>
      </c>
      <c r="C608" s="311">
        <v>1</v>
      </c>
    </row>
    <row r="609" spans="2:3" ht="15.75">
      <c r="B609" s="311">
        <v>1731</v>
      </c>
      <c r="C609" s="311">
        <v>1</v>
      </c>
    </row>
    <row r="610" spans="2:3" ht="15.75">
      <c r="B610" s="311">
        <v>1732</v>
      </c>
      <c r="C610" s="311">
        <v>1</v>
      </c>
    </row>
    <row r="611" spans="2:3" ht="15.75">
      <c r="B611" s="311">
        <v>1733</v>
      </c>
      <c r="C611" s="311">
        <v>1</v>
      </c>
    </row>
    <row r="612" spans="2:3" ht="15.75">
      <c r="B612" s="311">
        <v>1734</v>
      </c>
      <c r="C612" s="311">
        <v>1</v>
      </c>
    </row>
    <row r="613" spans="2:3" ht="15.75">
      <c r="B613" s="311">
        <v>1735</v>
      </c>
      <c r="C613" s="311">
        <v>1</v>
      </c>
    </row>
    <row r="614" spans="2:3" ht="15.75">
      <c r="B614" s="311">
        <v>1736</v>
      </c>
      <c r="C614" s="311">
        <v>1</v>
      </c>
    </row>
    <row r="615" spans="2:3" ht="15.75">
      <c r="B615" s="311">
        <v>1737</v>
      </c>
      <c r="C615" s="311">
        <v>1</v>
      </c>
    </row>
    <row r="616" spans="2:3" ht="15.75">
      <c r="B616" s="311">
        <v>1738</v>
      </c>
      <c r="C616" s="311">
        <v>1</v>
      </c>
    </row>
    <row r="617" spans="2:3" ht="15.75">
      <c r="B617" s="311">
        <v>1739</v>
      </c>
      <c r="C617" s="311">
        <v>1</v>
      </c>
    </row>
    <row r="618" spans="2:3" ht="15.75">
      <c r="B618" s="311">
        <v>1740</v>
      </c>
      <c r="C618" s="311">
        <v>1</v>
      </c>
    </row>
    <row r="619" spans="2:3" ht="15.75">
      <c r="B619" s="311">
        <v>1741</v>
      </c>
      <c r="C619" s="311">
        <v>1</v>
      </c>
    </row>
    <row r="620" spans="2:3" ht="15.75">
      <c r="B620" s="311">
        <v>1742</v>
      </c>
      <c r="C620" s="311">
        <v>1</v>
      </c>
    </row>
    <row r="621" spans="2:3" ht="15.75">
      <c r="B621" s="311">
        <v>1743</v>
      </c>
      <c r="C621" s="311">
        <v>1</v>
      </c>
    </row>
    <row r="622" spans="2:3" ht="15.75">
      <c r="B622" s="311">
        <v>1744</v>
      </c>
      <c r="C622" s="311">
        <v>1</v>
      </c>
    </row>
    <row r="623" spans="2:3" ht="15.75">
      <c r="B623" s="311">
        <v>1745</v>
      </c>
      <c r="C623" s="311">
        <v>1</v>
      </c>
    </row>
    <row r="624" spans="2:3" ht="15.75">
      <c r="B624" s="311">
        <v>1746</v>
      </c>
      <c r="C624" s="311">
        <v>1</v>
      </c>
    </row>
    <row r="625" spans="2:3" ht="15.75">
      <c r="B625" s="311">
        <v>1747</v>
      </c>
      <c r="C625" s="311">
        <v>1</v>
      </c>
    </row>
    <row r="626" spans="2:3" ht="15.75">
      <c r="B626" s="311">
        <v>1748</v>
      </c>
      <c r="C626" s="311">
        <v>1</v>
      </c>
    </row>
    <row r="627" spans="2:3" ht="15.75">
      <c r="B627" s="311">
        <v>1749</v>
      </c>
      <c r="C627" s="311">
        <v>1</v>
      </c>
    </row>
    <row r="628" spans="2:3" ht="15.75">
      <c r="B628" s="311">
        <v>1750</v>
      </c>
      <c r="C628" s="311">
        <v>1</v>
      </c>
    </row>
    <row r="629" spans="2:3" ht="15.75">
      <c r="B629" s="311">
        <v>1751</v>
      </c>
      <c r="C629" s="311">
        <v>1</v>
      </c>
    </row>
    <row r="630" spans="2:3" ht="15.75">
      <c r="B630" s="311">
        <v>1752</v>
      </c>
      <c r="C630" s="311">
        <v>1</v>
      </c>
    </row>
    <row r="631" spans="2:3" ht="15.75">
      <c r="B631" s="311">
        <v>1753</v>
      </c>
      <c r="C631" s="311">
        <v>0.97</v>
      </c>
    </row>
    <row r="632" spans="2:3" ht="15.75">
      <c r="B632" s="311">
        <v>1754</v>
      </c>
      <c r="C632" s="311">
        <v>0.97</v>
      </c>
    </row>
    <row r="633" spans="2:3" ht="15.75">
      <c r="B633" s="311">
        <v>1755</v>
      </c>
      <c r="C633" s="311">
        <v>0.97</v>
      </c>
    </row>
    <row r="634" spans="2:3" ht="15.75">
      <c r="B634" s="311">
        <v>1756</v>
      </c>
      <c r="C634" s="311">
        <v>0.97</v>
      </c>
    </row>
    <row r="635" spans="2:3" ht="15.75">
      <c r="B635" s="311">
        <v>1757</v>
      </c>
      <c r="C635" s="311">
        <v>0.97</v>
      </c>
    </row>
    <row r="636" spans="2:3" ht="15.75">
      <c r="B636" s="311">
        <v>1758</v>
      </c>
      <c r="C636" s="311">
        <v>0.97</v>
      </c>
    </row>
    <row r="637" spans="2:3" ht="15.75">
      <c r="B637" s="311">
        <v>1759</v>
      </c>
      <c r="C637" s="311">
        <v>0.97</v>
      </c>
    </row>
    <row r="638" spans="2:3" ht="15.75">
      <c r="B638" s="311">
        <v>1760</v>
      </c>
      <c r="C638" s="311">
        <v>0.97</v>
      </c>
    </row>
    <row r="639" spans="2:3" ht="15.75">
      <c r="B639" s="311">
        <v>1761</v>
      </c>
      <c r="C639" s="311">
        <v>0.97</v>
      </c>
    </row>
    <row r="640" spans="2:3" ht="15.75">
      <c r="B640" s="311">
        <v>1762</v>
      </c>
      <c r="C640" s="311">
        <v>0.97</v>
      </c>
    </row>
    <row r="641" spans="2:3" ht="15.75">
      <c r="B641" s="311">
        <v>1763</v>
      </c>
      <c r="C641" s="311">
        <v>0.97</v>
      </c>
    </row>
    <row r="642" spans="2:3" ht="15.75">
      <c r="B642" s="311">
        <v>1764</v>
      </c>
      <c r="C642" s="311">
        <v>0.97</v>
      </c>
    </row>
    <row r="643" spans="2:3" ht="15.75">
      <c r="B643" s="311">
        <v>1765</v>
      </c>
      <c r="C643" s="311">
        <v>0.97</v>
      </c>
    </row>
    <row r="644" spans="2:3" ht="15.75">
      <c r="B644" s="311">
        <v>1766</v>
      </c>
      <c r="C644" s="311">
        <v>0.97</v>
      </c>
    </row>
    <row r="645" spans="2:3" ht="15.75">
      <c r="B645" s="311">
        <v>1767</v>
      </c>
      <c r="C645" s="311">
        <v>0.97</v>
      </c>
    </row>
    <row r="646" spans="2:3" ht="15.75">
      <c r="B646" s="311">
        <v>1768</v>
      </c>
      <c r="C646" s="311">
        <v>0.97</v>
      </c>
    </row>
    <row r="647" spans="2:3" ht="15.75">
      <c r="B647" s="311">
        <v>1769</v>
      </c>
      <c r="C647" s="311">
        <v>0.97</v>
      </c>
    </row>
    <row r="648" spans="2:3" ht="15.75">
      <c r="B648" s="311">
        <v>1770</v>
      </c>
      <c r="C648" s="311">
        <v>0.97</v>
      </c>
    </row>
    <row r="649" spans="2:3" ht="15.75">
      <c r="B649" s="311">
        <v>1771</v>
      </c>
      <c r="C649" s="311">
        <v>0.97</v>
      </c>
    </row>
    <row r="650" spans="2:3" ht="15.75">
      <c r="B650" s="311">
        <v>1772</v>
      </c>
      <c r="C650" s="311">
        <v>0.97</v>
      </c>
    </row>
    <row r="651" spans="2:3" ht="15.75">
      <c r="B651" s="311">
        <v>1773</v>
      </c>
      <c r="C651" s="311">
        <v>0.97</v>
      </c>
    </row>
    <row r="652" spans="2:3" ht="15.75">
      <c r="B652" s="311">
        <v>1774</v>
      </c>
      <c r="C652" s="311">
        <v>0.97</v>
      </c>
    </row>
    <row r="653" spans="2:3" ht="15.75">
      <c r="B653" s="311">
        <v>1775</v>
      </c>
      <c r="C653" s="311">
        <v>0.97</v>
      </c>
    </row>
    <row r="654" spans="2:3" ht="15.75">
      <c r="B654" s="311">
        <v>1776</v>
      </c>
      <c r="C654" s="311">
        <v>0.97</v>
      </c>
    </row>
    <row r="655" spans="2:3" ht="15.75">
      <c r="B655" s="311">
        <v>1777</v>
      </c>
      <c r="C655" s="311">
        <v>0.97</v>
      </c>
    </row>
    <row r="656" spans="2:3" ht="15.75">
      <c r="B656" s="311">
        <v>1778</v>
      </c>
      <c r="C656" s="311">
        <v>0.97</v>
      </c>
    </row>
    <row r="657" spans="2:3" ht="15.75">
      <c r="B657" s="311">
        <v>1779</v>
      </c>
      <c r="C657" s="311">
        <v>0.97</v>
      </c>
    </row>
    <row r="658" spans="2:3" ht="15.75">
      <c r="B658" s="311">
        <v>1780</v>
      </c>
      <c r="C658" s="311">
        <v>0.97</v>
      </c>
    </row>
    <row r="659" spans="2:3" ht="15.75">
      <c r="B659" s="311">
        <v>1781</v>
      </c>
      <c r="C659" s="311">
        <v>0.97</v>
      </c>
    </row>
    <row r="660" spans="2:3" ht="15.75">
      <c r="B660" s="311">
        <v>1782</v>
      </c>
      <c r="C660" s="311">
        <v>0.95</v>
      </c>
    </row>
    <row r="661" spans="2:3" ht="15.75">
      <c r="B661" s="311">
        <v>1783</v>
      </c>
      <c r="C661" s="311">
        <v>0.95</v>
      </c>
    </row>
    <row r="662" spans="2:3" ht="15.75">
      <c r="B662" s="311">
        <v>1784</v>
      </c>
      <c r="C662" s="311">
        <v>0.95</v>
      </c>
    </row>
    <row r="663" spans="2:3" ht="15.75">
      <c r="B663" s="311">
        <v>1785</v>
      </c>
      <c r="C663" s="311">
        <v>0.95</v>
      </c>
    </row>
    <row r="664" spans="2:3" ht="15.75">
      <c r="B664" s="311">
        <v>1786</v>
      </c>
      <c r="C664" s="311">
        <v>0.95</v>
      </c>
    </row>
    <row r="665" spans="2:3" ht="15.75">
      <c r="B665" s="311">
        <v>1787</v>
      </c>
      <c r="C665" s="311">
        <v>0.95</v>
      </c>
    </row>
    <row r="666" spans="2:3" ht="15.75">
      <c r="B666" s="311">
        <v>1788</v>
      </c>
      <c r="C666" s="311">
        <v>0.95</v>
      </c>
    </row>
    <row r="667" spans="2:3" ht="15.75">
      <c r="B667" s="311">
        <v>1789</v>
      </c>
      <c r="C667" s="311">
        <v>0.95</v>
      </c>
    </row>
    <row r="668" spans="2:3" ht="15.75">
      <c r="B668" s="311">
        <v>1790</v>
      </c>
      <c r="C668" s="311">
        <v>0.95</v>
      </c>
    </row>
    <row r="669" spans="2:3" ht="15.75">
      <c r="B669" s="311">
        <v>1791</v>
      </c>
      <c r="C669" s="311">
        <v>0.95</v>
      </c>
    </row>
    <row r="670" spans="2:3" ht="15.75">
      <c r="B670" s="311">
        <v>1792</v>
      </c>
      <c r="C670" s="311">
        <v>0.95</v>
      </c>
    </row>
    <row r="671" spans="2:3" ht="15.75">
      <c r="B671" s="311">
        <v>1793</v>
      </c>
      <c r="C671" s="311">
        <v>0.95</v>
      </c>
    </row>
    <row r="672" spans="2:3" ht="15.75">
      <c r="B672" s="311">
        <v>1794</v>
      </c>
      <c r="C672" s="311">
        <v>0.95</v>
      </c>
    </row>
    <row r="673" spans="2:3" ht="15.75">
      <c r="B673" s="311">
        <v>1795</v>
      </c>
      <c r="C673" s="311">
        <v>0.95</v>
      </c>
    </row>
    <row r="674" spans="2:3" ht="15.75">
      <c r="B674" s="311">
        <v>1796</v>
      </c>
      <c r="C674" s="311">
        <v>0.95</v>
      </c>
    </row>
    <row r="675" spans="2:3" ht="15.75">
      <c r="B675" s="311">
        <v>1797</v>
      </c>
      <c r="C675" s="311">
        <v>0.95</v>
      </c>
    </row>
    <row r="676" spans="2:3" ht="15.75">
      <c r="B676" s="311">
        <v>1798</v>
      </c>
      <c r="C676" s="311">
        <v>0.95</v>
      </c>
    </row>
    <row r="677" spans="2:3" ht="15.75">
      <c r="B677" s="311">
        <v>1799</v>
      </c>
      <c r="C677" s="311">
        <v>0.95</v>
      </c>
    </row>
    <row r="678" spans="2:3" ht="15.75">
      <c r="B678" s="311">
        <v>1800</v>
      </c>
      <c r="C678" s="311">
        <v>0.95</v>
      </c>
    </row>
    <row r="679" spans="2:3" ht="15.75">
      <c r="B679" s="311">
        <v>1801</v>
      </c>
      <c r="C679" s="311">
        <v>0.95</v>
      </c>
    </row>
    <row r="680" spans="2:3" ht="15.75">
      <c r="B680" s="311">
        <v>1802</v>
      </c>
      <c r="C680" s="311">
        <v>0.95</v>
      </c>
    </row>
    <row r="681" spans="2:3" ht="15.75">
      <c r="B681" s="311">
        <v>1803</v>
      </c>
      <c r="C681" s="311">
        <v>0.95</v>
      </c>
    </row>
    <row r="682" spans="2:3" ht="15.75">
      <c r="B682" s="311">
        <v>1804</v>
      </c>
      <c r="C682" s="311">
        <v>0.95</v>
      </c>
    </row>
    <row r="683" spans="2:3" ht="15.75">
      <c r="B683" s="311">
        <v>1805</v>
      </c>
      <c r="C683" s="311">
        <v>0.95</v>
      </c>
    </row>
    <row r="684" spans="2:3" ht="15.75">
      <c r="B684" s="311">
        <v>1806</v>
      </c>
      <c r="C684" s="311">
        <v>0.95</v>
      </c>
    </row>
    <row r="685" spans="2:3" ht="15.75">
      <c r="B685" s="311">
        <v>1807</v>
      </c>
      <c r="C685" s="311">
        <v>0.95</v>
      </c>
    </row>
    <row r="686" spans="2:3" ht="15.75">
      <c r="B686" s="311">
        <v>1808</v>
      </c>
      <c r="C686" s="311">
        <v>0.95</v>
      </c>
    </row>
    <row r="687" spans="2:3" ht="15.75">
      <c r="B687" s="311">
        <v>1809</v>
      </c>
      <c r="C687" s="311">
        <v>0.95</v>
      </c>
    </row>
    <row r="688" spans="2:3" ht="15.75">
      <c r="B688" s="311">
        <v>1810</v>
      </c>
      <c r="C688" s="311">
        <v>0.95</v>
      </c>
    </row>
    <row r="689" spans="2:3" ht="15.75">
      <c r="B689" s="311">
        <v>1811</v>
      </c>
      <c r="C689" s="311">
        <v>0.92</v>
      </c>
    </row>
    <row r="690" spans="2:3" ht="15.75">
      <c r="B690" s="311">
        <v>1812</v>
      </c>
      <c r="C690" s="311">
        <v>0.92</v>
      </c>
    </row>
    <row r="691" spans="2:3" ht="15.75">
      <c r="B691" s="311">
        <v>1813</v>
      </c>
      <c r="C691" s="311">
        <v>0.92</v>
      </c>
    </row>
    <row r="692" spans="2:3" ht="15.75">
      <c r="B692" s="311">
        <v>1814</v>
      </c>
      <c r="C692" s="311">
        <v>0.92</v>
      </c>
    </row>
    <row r="693" spans="2:3" ht="15.75">
      <c r="B693" s="311">
        <v>1815</v>
      </c>
      <c r="C693" s="311">
        <v>0.92</v>
      </c>
    </row>
    <row r="694" spans="2:3" ht="15.75">
      <c r="B694" s="311">
        <v>1816</v>
      </c>
      <c r="C694" s="311">
        <v>0.92</v>
      </c>
    </row>
    <row r="695" spans="2:3" ht="15.75">
      <c r="B695" s="311">
        <v>1817</v>
      </c>
      <c r="C695" s="311">
        <v>0.92</v>
      </c>
    </row>
    <row r="696" spans="2:3" ht="15.75">
      <c r="B696" s="311">
        <v>1818</v>
      </c>
      <c r="C696" s="311">
        <v>0.92</v>
      </c>
    </row>
    <row r="697" spans="2:3" ht="15.75">
      <c r="B697" s="311">
        <v>1819</v>
      </c>
      <c r="C697" s="311">
        <v>0.92</v>
      </c>
    </row>
    <row r="698" spans="2:3" ht="15.75">
      <c r="B698" s="311">
        <v>1820</v>
      </c>
      <c r="C698" s="311">
        <v>0.92</v>
      </c>
    </row>
    <row r="699" spans="2:3" ht="15.75">
      <c r="B699" s="311">
        <v>1821</v>
      </c>
      <c r="C699" s="311">
        <v>0.92</v>
      </c>
    </row>
    <row r="700" spans="2:3" ht="15.75">
      <c r="B700" s="311">
        <v>1822</v>
      </c>
      <c r="C700" s="311">
        <v>0.92</v>
      </c>
    </row>
    <row r="701" spans="2:3" ht="15.75">
      <c r="B701" s="311">
        <v>1823</v>
      </c>
      <c r="C701" s="311">
        <v>0.92</v>
      </c>
    </row>
    <row r="702" spans="2:3" ht="15.75">
      <c r="B702" s="311">
        <v>1824</v>
      </c>
      <c r="C702" s="311">
        <v>0.92</v>
      </c>
    </row>
    <row r="703" spans="2:3" ht="15.75">
      <c r="B703" s="311">
        <v>1825</v>
      </c>
      <c r="C703" s="311">
        <v>0.92</v>
      </c>
    </row>
    <row r="704" spans="2:3" ht="15.75">
      <c r="B704" s="311">
        <v>1826</v>
      </c>
      <c r="C704" s="311">
        <v>0.92</v>
      </c>
    </row>
    <row r="705" spans="2:3" ht="15.75">
      <c r="B705" s="311">
        <v>1827</v>
      </c>
      <c r="C705" s="311">
        <v>0.92</v>
      </c>
    </row>
    <row r="706" spans="2:3" ht="15.75">
      <c r="B706" s="311">
        <v>1828</v>
      </c>
      <c r="C706" s="311">
        <v>0.92</v>
      </c>
    </row>
    <row r="707" spans="2:3" ht="15.75">
      <c r="B707" s="311">
        <v>1829</v>
      </c>
      <c r="C707" s="311">
        <v>0.92</v>
      </c>
    </row>
    <row r="708" spans="2:3" ht="15.75">
      <c r="B708" s="311">
        <v>1830</v>
      </c>
      <c r="C708" s="311">
        <v>0.92</v>
      </c>
    </row>
    <row r="709" spans="2:3" ht="15.75">
      <c r="B709" s="311">
        <v>1831</v>
      </c>
      <c r="C709" s="311">
        <v>0.92</v>
      </c>
    </row>
    <row r="710" spans="2:3" ht="15.75">
      <c r="B710" s="311">
        <v>1832</v>
      </c>
      <c r="C710" s="311">
        <v>0.92</v>
      </c>
    </row>
    <row r="711" spans="2:3" ht="15.75">
      <c r="B711" s="311">
        <v>1833</v>
      </c>
      <c r="C711" s="311">
        <v>0.92</v>
      </c>
    </row>
    <row r="712" spans="2:3" ht="15.75">
      <c r="B712" s="311">
        <v>1834</v>
      </c>
      <c r="C712" s="311">
        <v>0.92</v>
      </c>
    </row>
    <row r="713" spans="2:3" ht="15.75">
      <c r="B713" s="311">
        <v>1835</v>
      </c>
      <c r="C713" s="311">
        <v>0.92</v>
      </c>
    </row>
    <row r="714" spans="2:3" ht="15.75">
      <c r="B714" s="311">
        <v>1836</v>
      </c>
      <c r="C714" s="311">
        <v>0.92</v>
      </c>
    </row>
    <row r="715" spans="2:3" ht="15.75">
      <c r="B715" s="311">
        <v>1837</v>
      </c>
      <c r="C715" s="311">
        <v>0.92</v>
      </c>
    </row>
    <row r="716" spans="2:3" ht="15.75">
      <c r="B716" s="311">
        <v>1838</v>
      </c>
      <c r="C716" s="311">
        <v>0.92</v>
      </c>
    </row>
    <row r="717" spans="2:3" ht="15.75">
      <c r="B717" s="311">
        <v>1839</v>
      </c>
      <c r="C717" s="311">
        <v>0.92</v>
      </c>
    </row>
    <row r="718" spans="2:3" ht="15.75">
      <c r="B718" s="311">
        <v>1840</v>
      </c>
      <c r="C718" s="311">
        <v>0.9</v>
      </c>
    </row>
    <row r="719" spans="2:3" ht="15.75">
      <c r="B719" s="311">
        <v>1841</v>
      </c>
      <c r="C719" s="311">
        <v>0.9</v>
      </c>
    </row>
    <row r="720" spans="2:3" ht="15.75">
      <c r="B720" s="311">
        <v>1842</v>
      </c>
      <c r="C720" s="311">
        <v>0.9</v>
      </c>
    </row>
    <row r="721" spans="2:3" ht="15.75">
      <c r="B721" s="311">
        <v>1843</v>
      </c>
      <c r="C721" s="311">
        <v>0.9</v>
      </c>
    </row>
    <row r="722" spans="2:3" ht="15.75">
      <c r="B722" s="311">
        <v>1844</v>
      </c>
      <c r="C722" s="311">
        <v>0.9</v>
      </c>
    </row>
    <row r="723" spans="2:3" ht="15.75">
      <c r="B723" s="311">
        <v>1845</v>
      </c>
      <c r="C723" s="311">
        <v>0.9</v>
      </c>
    </row>
    <row r="724" spans="2:3" ht="15.75">
      <c r="B724" s="311">
        <v>1846</v>
      </c>
      <c r="C724" s="311">
        <v>0.9</v>
      </c>
    </row>
    <row r="725" spans="2:3" ht="15.75">
      <c r="B725" s="311">
        <v>1847</v>
      </c>
      <c r="C725" s="311">
        <v>0.9</v>
      </c>
    </row>
    <row r="726" spans="2:3" ht="15.75">
      <c r="B726" s="311">
        <v>1848</v>
      </c>
      <c r="C726" s="311">
        <v>0.9</v>
      </c>
    </row>
    <row r="727" spans="2:3" ht="15.75">
      <c r="B727" s="311">
        <v>1849</v>
      </c>
      <c r="C727" s="311">
        <v>0.9</v>
      </c>
    </row>
    <row r="728" spans="2:3" ht="15.75">
      <c r="B728" s="311">
        <v>1850</v>
      </c>
      <c r="C728" s="311">
        <v>0.9</v>
      </c>
    </row>
    <row r="729" spans="2:3" ht="15.75">
      <c r="B729" s="311">
        <v>1851</v>
      </c>
      <c r="C729" s="311">
        <v>0.9</v>
      </c>
    </row>
    <row r="730" spans="2:3" ht="15.75">
      <c r="B730" s="311">
        <v>1852</v>
      </c>
      <c r="C730" s="311">
        <v>0.9</v>
      </c>
    </row>
    <row r="731" spans="2:3" ht="15.75">
      <c r="B731" s="311">
        <v>1853</v>
      </c>
      <c r="C731" s="311">
        <v>0.9</v>
      </c>
    </row>
    <row r="732" spans="2:3" ht="15.75">
      <c r="B732" s="311">
        <v>1854</v>
      </c>
      <c r="C732" s="311">
        <v>0.9</v>
      </c>
    </row>
    <row r="733" spans="2:3" ht="15.75">
      <c r="B733" s="311">
        <v>1855</v>
      </c>
      <c r="C733" s="311">
        <v>0.9</v>
      </c>
    </row>
    <row r="734" spans="2:3" ht="15.75">
      <c r="B734" s="311">
        <v>1856</v>
      </c>
      <c r="C734" s="311">
        <v>0.9</v>
      </c>
    </row>
    <row r="735" spans="2:3" ht="15.75">
      <c r="B735" s="311">
        <v>1857</v>
      </c>
      <c r="C735" s="311">
        <v>0.9</v>
      </c>
    </row>
    <row r="736" spans="2:3" ht="15.75">
      <c r="B736" s="311">
        <v>1858</v>
      </c>
      <c r="C736" s="311">
        <v>0.9</v>
      </c>
    </row>
    <row r="737" spans="2:3" ht="15.75">
      <c r="B737" s="311">
        <v>1859</v>
      </c>
      <c r="C737" s="311">
        <v>0.9</v>
      </c>
    </row>
    <row r="738" spans="2:3" ht="15.75">
      <c r="B738" s="311">
        <v>1860</v>
      </c>
      <c r="C738" s="311">
        <v>0.9</v>
      </c>
    </row>
    <row r="739" spans="2:3" ht="15.75">
      <c r="B739" s="311">
        <v>1861</v>
      </c>
      <c r="C739" s="311">
        <v>0.9</v>
      </c>
    </row>
    <row r="740" spans="2:3" ht="15.75">
      <c r="B740" s="311">
        <v>1862</v>
      </c>
      <c r="C740" s="311">
        <v>0.9</v>
      </c>
    </row>
    <row r="741" spans="2:3" ht="15.75">
      <c r="B741" s="311">
        <v>1863</v>
      </c>
      <c r="C741" s="311">
        <v>0.9</v>
      </c>
    </row>
    <row r="742" spans="2:3" ht="15.75">
      <c r="B742" s="311">
        <v>1864</v>
      </c>
      <c r="C742" s="311">
        <v>0.9</v>
      </c>
    </row>
    <row r="743" spans="2:3" ht="15.75">
      <c r="B743" s="311">
        <v>1865</v>
      </c>
      <c r="C743" s="311">
        <v>0.9</v>
      </c>
    </row>
    <row r="744" spans="2:3" ht="15.75">
      <c r="B744" s="311">
        <v>1866</v>
      </c>
      <c r="C744" s="311">
        <v>0.9</v>
      </c>
    </row>
    <row r="745" spans="2:3" ht="15.75">
      <c r="B745" s="311">
        <v>1867</v>
      </c>
      <c r="C745" s="311">
        <v>0.9</v>
      </c>
    </row>
    <row r="746" spans="2:3" ht="15.75">
      <c r="B746" s="311">
        <v>1868</v>
      </c>
      <c r="C746" s="311">
        <v>0.9</v>
      </c>
    </row>
  </sheetData>
  <sheetProtection password="C9C1" sheet="1" objects="1" scenarios="1"/>
  <mergeCells count="76">
    <mergeCell ref="I37:I39"/>
    <mergeCell ref="I33:I35"/>
    <mergeCell ref="U26:U27"/>
    <mergeCell ref="L6:N6"/>
    <mergeCell ref="L8:N8"/>
    <mergeCell ref="L10:N10"/>
    <mergeCell ref="M37:M39"/>
    <mergeCell ref="M33:M35"/>
    <mergeCell ref="K33:K35"/>
    <mergeCell ref="K37:K39"/>
    <mergeCell ref="P41:P43"/>
    <mergeCell ref="P45:P47"/>
    <mergeCell ref="P49:P51"/>
    <mergeCell ref="M49:M51"/>
    <mergeCell ref="M45:M47"/>
    <mergeCell ref="M41:M43"/>
    <mergeCell ref="N45:N47"/>
    <mergeCell ref="L33:L35"/>
    <mergeCell ref="J33:J35"/>
    <mergeCell ref="H33:H35"/>
    <mergeCell ref="R49:R51"/>
    <mergeCell ref="R45:R47"/>
    <mergeCell ref="R41:R43"/>
    <mergeCell ref="R37:R39"/>
    <mergeCell ref="R33:R35"/>
    <mergeCell ref="P33:P35"/>
    <mergeCell ref="P37:P39"/>
    <mergeCell ref="U33:U35"/>
    <mergeCell ref="S33:S35"/>
    <mergeCell ref="Q33:Q35"/>
    <mergeCell ref="N33:N35"/>
    <mergeCell ref="U49:U51"/>
    <mergeCell ref="U45:U47"/>
    <mergeCell ref="U41:U43"/>
    <mergeCell ref="H37:H39"/>
    <mergeCell ref="J37:J39"/>
    <mergeCell ref="L37:L39"/>
    <mergeCell ref="N37:N39"/>
    <mergeCell ref="Q37:Q39"/>
    <mergeCell ref="S37:S39"/>
    <mergeCell ref="U37:U39"/>
    <mergeCell ref="Q49:Q51"/>
    <mergeCell ref="Q45:Q47"/>
    <mergeCell ref="Q41:Q43"/>
    <mergeCell ref="S49:S51"/>
    <mergeCell ref="S45:S47"/>
    <mergeCell ref="S41:S43"/>
    <mergeCell ref="H41:H43"/>
    <mergeCell ref="J41:J43"/>
    <mergeCell ref="L41:L43"/>
    <mergeCell ref="N41:N43"/>
    <mergeCell ref="K41:K43"/>
    <mergeCell ref="I41:I43"/>
    <mergeCell ref="L45:L47"/>
    <mergeCell ref="J45:J47"/>
    <mergeCell ref="H45:H47"/>
    <mergeCell ref="K45:K47"/>
    <mergeCell ref="I45:I47"/>
    <mergeCell ref="H49:H51"/>
    <mergeCell ref="J49:J51"/>
    <mergeCell ref="L49:L51"/>
    <mergeCell ref="N49:N51"/>
    <mergeCell ref="K49:K51"/>
    <mergeCell ref="I49:I51"/>
    <mergeCell ref="H8:I8"/>
    <mergeCell ref="H9:I9"/>
    <mergeCell ref="D29:F29"/>
    <mergeCell ref="I30:N30"/>
    <mergeCell ref="J16:L16"/>
    <mergeCell ref="M18:N18"/>
    <mergeCell ref="H10:I10"/>
    <mergeCell ref="J12:L12"/>
    <mergeCell ref="G2:M2"/>
    <mergeCell ref="G3:M3"/>
    <mergeCell ref="H6:I6"/>
    <mergeCell ref="H7:I7"/>
  </mergeCells>
  <conditionalFormatting sqref="H13:H14">
    <cfRule type="expression" priority="1" dxfId="1" stopIfTrue="1">
      <formula>ISERROR($H$13:$H$14)</formula>
    </cfRule>
  </conditionalFormatting>
  <conditionalFormatting sqref="F19:H21">
    <cfRule type="expression" priority="2" dxfId="1" stopIfTrue="1">
      <formula>ISERROR($F$19:$H$21)</formula>
    </cfRule>
  </conditionalFormatting>
  <conditionalFormatting sqref="F25:F27">
    <cfRule type="expression" priority="3" dxfId="1" stopIfTrue="1">
      <formula>ISERROR($F$25:$H$27)</formula>
    </cfRule>
  </conditionalFormatting>
  <conditionalFormatting sqref="G25:H27">
    <cfRule type="expression" priority="4" dxfId="1" stopIfTrue="1">
      <formula>ISERROR($G$25:$H$27)</formula>
    </cfRule>
  </conditionalFormatting>
  <conditionalFormatting sqref="M17:N18">
    <cfRule type="expression" priority="5" dxfId="1" stopIfTrue="1">
      <formula>ISERROR($M$17:$N$18)</formula>
    </cfRule>
  </conditionalFormatting>
  <conditionalFormatting sqref="M23">
    <cfRule type="expression" priority="6" dxfId="1" stopIfTrue="1">
      <formula>ISERROR($M$23)</formula>
    </cfRule>
  </conditionalFormatting>
  <conditionalFormatting sqref="L25:L27">
    <cfRule type="expression" priority="7" dxfId="1" stopIfTrue="1">
      <formula>ISERROR($L$25:$L$27)</formula>
    </cfRule>
  </conditionalFormatting>
  <conditionalFormatting sqref="R11">
    <cfRule type="expression" priority="8" dxfId="1" stopIfTrue="1">
      <formula>ISERROR($R$11)</formula>
    </cfRule>
  </conditionalFormatting>
  <conditionalFormatting sqref="R13:R14">
    <cfRule type="expression" priority="9" dxfId="1" stopIfTrue="1">
      <formula>ISERROR($R$13:$R$14)</formula>
    </cfRule>
  </conditionalFormatting>
  <conditionalFormatting sqref="T18:T21">
    <cfRule type="expression" priority="10" dxfId="1" stopIfTrue="1">
      <formula>ISERROR($T$18:$T$21)</formula>
    </cfRule>
  </conditionalFormatting>
  <conditionalFormatting sqref="T26:U27">
    <cfRule type="expression" priority="11" dxfId="1" stopIfTrue="1">
      <formula>ISERROR($T$26:$U$27)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  <pageSetUpPr fitToPage="1"/>
  </sheetPr>
  <dimension ref="D30:Q99"/>
  <sheetViews>
    <sheetView showGridLines="0" showZeros="0" showOutlineSymbols="0" zoomScale="85" zoomScaleNormal="85" workbookViewId="0" topLeftCell="A10">
      <selection activeCell="A1" sqref="A1:N69"/>
    </sheetView>
  </sheetViews>
  <sheetFormatPr defaultColWidth="9.00390625" defaultRowHeight="15.75"/>
  <cols>
    <col min="1" max="16" width="9.00390625" style="311" customWidth="1"/>
    <col min="17" max="17" width="9.625" style="311" bestFit="1" customWidth="1"/>
    <col min="18" max="16384" width="9.00390625" style="31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>
      <c r="Q30" s="326"/>
    </row>
    <row r="31" ht="15.75">
      <c r="Q31" s="326"/>
    </row>
    <row r="32" ht="15.75">
      <c r="Q32" s="326"/>
    </row>
    <row r="33" ht="15.75">
      <c r="Q33" s="326"/>
    </row>
    <row r="34" ht="15.75"/>
    <row r="35" ht="15.75"/>
    <row r="36" ht="15.75">
      <c r="Q36" s="326"/>
    </row>
    <row r="37" ht="15.75">
      <c r="Q37" s="326"/>
    </row>
    <row r="38" ht="15.75">
      <c r="Q38" s="326"/>
    </row>
    <row r="39" ht="15.75">
      <c r="Q39" s="326"/>
    </row>
    <row r="40" ht="15.75">
      <c r="Q40" s="326"/>
    </row>
    <row r="41" ht="15.75">
      <c r="Q41" s="326"/>
    </row>
    <row r="42" ht="15.75">
      <c r="Q42" s="326"/>
    </row>
    <row r="43" ht="15.75">
      <c r="Q43" s="326"/>
    </row>
    <row r="44" ht="15.75">
      <c r="Q44" s="326"/>
    </row>
    <row r="45" ht="15.75">
      <c r="Q45" s="326"/>
    </row>
    <row r="46" ht="15.75"/>
    <row r="47" ht="15.75"/>
    <row r="48" ht="15.75">
      <c r="Q48" s="326"/>
    </row>
    <row r="49" ht="15.75">
      <c r="Q49" s="326"/>
    </row>
    <row r="50" ht="15.75"/>
    <row r="51" ht="15.75"/>
    <row r="52" ht="15.75"/>
    <row r="53" ht="15.75">
      <c r="Q53" s="159"/>
    </row>
    <row r="54" ht="15.75">
      <c r="Q54" s="159"/>
    </row>
    <row r="55" ht="15.75"/>
    <row r="56" ht="15.75"/>
    <row r="57" ht="15.75"/>
    <row r="58" ht="15.75"/>
    <row r="59" ht="15.75"/>
    <row r="60" ht="15.75"/>
    <row r="61" ht="15.75"/>
    <row r="62" ht="16.5" thickBot="1"/>
    <row r="63" spans="4:11" ht="16.5" thickBot="1">
      <c r="D63" s="461" t="s">
        <v>304</v>
      </c>
      <c r="E63" s="476">
        <v>0.04</v>
      </c>
      <c r="F63" s="469" t="s">
        <v>284</v>
      </c>
      <c r="I63" s="311" t="s">
        <v>299</v>
      </c>
      <c r="J63" s="471">
        <v>0.6</v>
      </c>
      <c r="K63" s="469" t="s">
        <v>302</v>
      </c>
    </row>
    <row r="64" spans="4:11" ht="16.5" thickBot="1">
      <c r="D64" s="461" t="s">
        <v>279</v>
      </c>
      <c r="E64" s="470" t="e">
        <f>((('Lab Data'!P59-'Vol. Analysis'!E63)/'Lab Data'!P60)*'Lab Data'!O55)+'Lab Data'!O59</f>
        <v>#N/A</v>
      </c>
      <c r="I64" s="311" t="s">
        <v>300</v>
      </c>
      <c r="J64" s="473">
        <v>1.2</v>
      </c>
      <c r="K64" s="469" t="s">
        <v>302</v>
      </c>
    </row>
    <row r="65" spans="4:12" ht="16.5" thickBot="1">
      <c r="D65" s="461" t="s">
        <v>285</v>
      </c>
      <c r="E65" s="471">
        <f>INDEX('Grad. &amp; Batching'!E156:N176,'Grad. &amp; Batching'!Q155,'Grad. &amp; Batching'!Q156)</f>
        <v>14</v>
      </c>
      <c r="F65" s="469" t="s">
        <v>302</v>
      </c>
      <c r="I65" s="461" t="s">
        <v>292</v>
      </c>
      <c r="J65" s="471">
        <f>LOOKUP(E67,E97:E99,H97:H99)</f>
        <v>1800</v>
      </c>
      <c r="K65" s="311" t="s">
        <v>293</v>
      </c>
      <c r="L65" s="469" t="s">
        <v>302</v>
      </c>
    </row>
    <row r="66" spans="4:12" ht="16.5" thickBot="1">
      <c r="D66" s="461" t="s">
        <v>303</v>
      </c>
      <c r="E66" s="472" t="e">
        <f>(E64*'Project Info.'!H18)+('Grad. &amp; Batching'!O21*(1-'Vol. Analysis'!E64))</f>
        <v>#N/A</v>
      </c>
      <c r="J66" s="471">
        <f>LOOKUP(E67,E97:E99,I97:I99)</f>
        <v>8006</v>
      </c>
      <c r="K66" s="311" t="s">
        <v>294</v>
      </c>
      <c r="L66" s="469" t="s">
        <v>302</v>
      </c>
    </row>
    <row r="67" spans="4:12" ht="16.5" thickBot="1">
      <c r="D67" s="461" t="s">
        <v>288</v>
      </c>
      <c r="E67" s="477">
        <v>75</v>
      </c>
      <c r="I67" s="461" t="s">
        <v>297</v>
      </c>
      <c r="J67" s="471">
        <f>LOOKUP(E67,E97:E99,J97:J99)</f>
        <v>8</v>
      </c>
      <c r="K67" s="311" t="s">
        <v>301</v>
      </c>
      <c r="L67" s="469" t="s">
        <v>302</v>
      </c>
    </row>
    <row r="68" spans="4:12" ht="16.5" thickBot="1">
      <c r="D68" s="311" t="s">
        <v>289</v>
      </c>
      <c r="E68" s="471">
        <f>LOOKUP(E67,E97:E99,F97:F99)</f>
        <v>65</v>
      </c>
      <c r="F68" s="469" t="s">
        <v>302</v>
      </c>
      <c r="I68" s="311" t="s">
        <v>298</v>
      </c>
      <c r="J68" s="471">
        <f>LOOKUP(E67,E97:E99,K97:K99)</f>
        <v>14</v>
      </c>
      <c r="K68" s="311" t="s">
        <v>301</v>
      </c>
      <c r="L68" s="469" t="s">
        <v>302</v>
      </c>
    </row>
    <row r="69" spans="4:6" ht="16.5" thickBot="1">
      <c r="D69" s="311" t="s">
        <v>290</v>
      </c>
      <c r="E69" s="471">
        <f>LOOKUP(E67,E97:E99,G97:G99)</f>
        <v>75</v>
      </c>
      <c r="F69" s="469" t="s">
        <v>302</v>
      </c>
    </row>
    <row r="84" spans="5:16" ht="15.75">
      <c r="E84" s="311">
        <f>$E$65</f>
        <v>14</v>
      </c>
      <c r="G84" s="311">
        <f>$E$68</f>
        <v>65</v>
      </c>
      <c r="H84" s="311">
        <f>$E$69</f>
        <v>75</v>
      </c>
      <c r="J84" s="311">
        <f>J63</f>
        <v>0.6</v>
      </c>
      <c r="K84" s="311">
        <f>J64</f>
        <v>1.2</v>
      </c>
      <c r="M84" s="311">
        <f>J65</f>
        <v>1800</v>
      </c>
      <c r="O84" s="311">
        <f>J67</f>
        <v>8</v>
      </c>
      <c r="P84" s="311">
        <f>J68</f>
        <v>14</v>
      </c>
    </row>
    <row r="85" spans="5:16" ht="15.75">
      <c r="E85" s="311">
        <f>$E$65</f>
        <v>14</v>
      </c>
      <c r="G85" s="311">
        <f>$E$68</f>
        <v>65</v>
      </c>
      <c r="H85" s="311">
        <f>$E$69</f>
        <v>75</v>
      </c>
      <c r="J85" s="311">
        <f>J63</f>
        <v>0.6</v>
      </c>
      <c r="K85" s="311">
        <f>J64</f>
        <v>1.2</v>
      </c>
      <c r="M85" s="311">
        <f>J65</f>
        <v>1800</v>
      </c>
      <c r="O85" s="311">
        <f>J67</f>
        <v>8</v>
      </c>
      <c r="P85" s="311">
        <f>J68</f>
        <v>14</v>
      </c>
    </row>
    <row r="86" spans="5:16" ht="15.75">
      <c r="E86" s="311">
        <f>$E$65</f>
        <v>14</v>
      </c>
      <c r="G86" s="311">
        <f>$E$68</f>
        <v>65</v>
      </c>
      <c r="H86" s="311">
        <f>$E$69</f>
        <v>75</v>
      </c>
      <c r="J86" s="311">
        <f>J63</f>
        <v>0.6</v>
      </c>
      <c r="K86" s="311">
        <f>J64</f>
        <v>1.2</v>
      </c>
      <c r="M86" s="311">
        <f>J65</f>
        <v>1800</v>
      </c>
      <c r="O86" s="311">
        <f>J67</f>
        <v>8</v>
      </c>
      <c r="P86" s="311">
        <f>J68</f>
        <v>14</v>
      </c>
    </row>
    <row r="87" spans="5:16" ht="15.75">
      <c r="E87" s="311">
        <f>$E$65</f>
        <v>14</v>
      </c>
      <c r="G87" s="311">
        <f>$E$68</f>
        <v>65</v>
      </c>
      <c r="H87" s="311">
        <f>$E$69</f>
        <v>75</v>
      </c>
      <c r="J87" s="311">
        <f>J63</f>
        <v>0.6</v>
      </c>
      <c r="K87" s="311">
        <f>J64</f>
        <v>1.2</v>
      </c>
      <c r="M87" s="311">
        <f>J65</f>
        <v>1800</v>
      </c>
      <c r="O87" s="311">
        <f>J67</f>
        <v>8</v>
      </c>
      <c r="P87" s="311">
        <f>J68</f>
        <v>14</v>
      </c>
    </row>
    <row r="88" spans="5:16" ht="15.75">
      <c r="E88" s="311">
        <f>$E$65</f>
        <v>14</v>
      </c>
      <c r="G88" s="311">
        <f>$E$68</f>
        <v>65</v>
      </c>
      <c r="H88" s="311">
        <f>$E$69</f>
        <v>75</v>
      </c>
      <c r="J88" s="311">
        <f>J63</f>
        <v>0.6</v>
      </c>
      <c r="K88" s="311">
        <f>J64</f>
        <v>1.2</v>
      </c>
      <c r="M88" s="311">
        <f>J65</f>
        <v>1800</v>
      </c>
      <c r="O88" s="311">
        <f>J67</f>
        <v>8</v>
      </c>
      <c r="P88" s="311">
        <f>J68</f>
        <v>14</v>
      </c>
    </row>
    <row r="94" ht="16.5" thickBot="1">
      <c r="E94" s="311" t="s">
        <v>280</v>
      </c>
    </row>
    <row r="95" spans="5:11" ht="15.75">
      <c r="E95" s="749" t="s">
        <v>291</v>
      </c>
      <c r="F95" s="747" t="s">
        <v>281</v>
      </c>
      <c r="G95" s="747"/>
      <c r="H95" s="747" t="s">
        <v>295</v>
      </c>
      <c r="I95" s="748"/>
      <c r="J95" s="747" t="s">
        <v>251</v>
      </c>
      <c r="K95" s="748"/>
    </row>
    <row r="96" spans="5:11" ht="16.5" thickBot="1">
      <c r="E96" s="750"/>
      <c r="F96" s="474" t="s">
        <v>68</v>
      </c>
      <c r="G96" s="474" t="s">
        <v>282</v>
      </c>
      <c r="H96" s="474" t="s">
        <v>296</v>
      </c>
      <c r="I96" s="475" t="s">
        <v>294</v>
      </c>
      <c r="J96" s="474" t="s">
        <v>68</v>
      </c>
      <c r="K96" s="475" t="s">
        <v>69</v>
      </c>
    </row>
    <row r="97" spans="5:11" ht="15.75">
      <c r="E97" s="311">
        <v>35</v>
      </c>
      <c r="F97" s="311">
        <v>70</v>
      </c>
      <c r="G97" s="311">
        <v>80</v>
      </c>
      <c r="H97" s="311">
        <v>750</v>
      </c>
      <c r="I97" s="311">
        <v>3336</v>
      </c>
      <c r="J97" s="311">
        <v>8</v>
      </c>
      <c r="K97" s="311">
        <v>18</v>
      </c>
    </row>
    <row r="98" spans="5:11" ht="15.75">
      <c r="E98" s="311">
        <v>50</v>
      </c>
      <c r="F98" s="311">
        <v>65</v>
      </c>
      <c r="G98" s="311">
        <v>78</v>
      </c>
      <c r="H98" s="311">
        <v>1200</v>
      </c>
      <c r="I98" s="311">
        <v>5338</v>
      </c>
      <c r="J98" s="311">
        <v>8</v>
      </c>
      <c r="K98" s="311">
        <v>16</v>
      </c>
    </row>
    <row r="99" spans="5:11" ht="15.75">
      <c r="E99" s="311">
        <v>75</v>
      </c>
      <c r="F99" s="311">
        <v>65</v>
      </c>
      <c r="G99" s="311">
        <v>75</v>
      </c>
      <c r="H99" s="311">
        <v>1800</v>
      </c>
      <c r="I99" s="311">
        <v>8006</v>
      </c>
      <c r="J99" s="311">
        <v>8</v>
      </c>
      <c r="K99" s="311">
        <v>14</v>
      </c>
    </row>
  </sheetData>
  <sheetProtection password="C9C1" sheet="1" objects="1" scenarios="1"/>
  <mergeCells count="4">
    <mergeCell ref="F95:G95"/>
    <mergeCell ref="H95:I95"/>
    <mergeCell ref="E95:E96"/>
    <mergeCell ref="J95:K95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3"/>
    <pageSetUpPr fitToPage="1"/>
  </sheetPr>
  <dimension ref="A1:L72"/>
  <sheetViews>
    <sheetView showGridLines="0" showRowColHeaders="0" showZeros="0" showOutlineSymbols="0" workbookViewId="0" topLeftCell="A43">
      <selection activeCell="E10" sqref="E10"/>
    </sheetView>
  </sheetViews>
  <sheetFormatPr defaultColWidth="9.00390625" defaultRowHeight="15.75"/>
  <cols>
    <col min="1" max="1" width="3.25390625" style="0" customWidth="1"/>
    <col min="3" max="3" width="13.25390625" style="0" customWidth="1"/>
    <col min="8" max="9" width="9.375" style="0" customWidth="1"/>
    <col min="10" max="10" width="9.25390625" style="0" customWidth="1"/>
  </cols>
  <sheetData>
    <row r="1" spans="1:12" ht="45.75">
      <c r="A1" s="311"/>
      <c r="B1" s="479" t="s">
        <v>221</v>
      </c>
      <c r="C1" s="480"/>
      <c r="D1" s="311"/>
      <c r="E1" s="480"/>
      <c r="F1" s="480"/>
      <c r="G1" s="480"/>
      <c r="H1" s="480"/>
      <c r="I1" s="480"/>
      <c r="J1" s="480"/>
      <c r="K1" s="478"/>
      <c r="L1" s="478"/>
    </row>
    <row r="2" spans="1:12" ht="15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136"/>
      <c r="L2" s="136"/>
    </row>
    <row r="3" spans="1:12" ht="20.25">
      <c r="A3" s="311"/>
      <c r="B3" s="311"/>
      <c r="C3" s="156" t="s">
        <v>0</v>
      </c>
      <c r="D3" s="698" t="str">
        <f>'Project Info.'!D2</f>
        <v>Diseño MAC Rodadura Calles del Sur</v>
      </c>
      <c r="E3" s="698"/>
      <c r="F3" s="698"/>
      <c r="G3" s="698"/>
      <c r="H3" s="698"/>
      <c r="I3" s="311"/>
      <c r="J3" s="311"/>
      <c r="K3" s="136"/>
      <c r="L3" s="136"/>
    </row>
    <row r="4" spans="1:12" ht="20.25">
      <c r="A4" s="311"/>
      <c r="B4" s="311"/>
      <c r="C4" s="156" t="s">
        <v>1</v>
      </c>
      <c r="D4" s="698" t="str">
        <f>'Project Info.'!D3</f>
        <v>Planta TIBURCIO</v>
      </c>
      <c r="E4" s="698"/>
      <c r="F4" s="698"/>
      <c r="G4" s="698"/>
      <c r="H4" s="698"/>
      <c r="I4" s="311"/>
      <c r="J4" s="311"/>
      <c r="K4" s="136"/>
      <c r="L4" s="136"/>
    </row>
    <row r="5" spans="1:12" ht="15.75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136"/>
      <c r="L5" s="136"/>
    </row>
    <row r="6" spans="1:12" ht="15.75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136"/>
      <c r="L6" s="136"/>
    </row>
    <row r="7" spans="1:12" ht="16.5" thickBo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136"/>
      <c r="L7" s="136"/>
    </row>
    <row r="8" spans="1:12" ht="16.5" thickBot="1">
      <c r="A8" s="311"/>
      <c r="B8" s="481"/>
      <c r="C8" s="456"/>
      <c r="D8" s="456"/>
      <c r="E8" s="752" t="s">
        <v>222</v>
      </c>
      <c r="F8" s="754"/>
      <c r="G8" s="753"/>
      <c r="H8" s="752" t="s">
        <v>223</v>
      </c>
      <c r="I8" s="754"/>
      <c r="J8" s="753"/>
      <c r="K8" s="136"/>
      <c r="L8" s="136"/>
    </row>
    <row r="9" spans="1:12" ht="16.5" thickBot="1">
      <c r="A9" s="311"/>
      <c r="B9" s="752" t="s">
        <v>224</v>
      </c>
      <c r="C9" s="754"/>
      <c r="D9" s="753"/>
      <c r="E9" s="482">
        <v>1</v>
      </c>
      <c r="F9" s="482">
        <v>2</v>
      </c>
      <c r="G9" s="482">
        <v>3</v>
      </c>
      <c r="H9" s="482">
        <v>4</v>
      </c>
      <c r="I9" s="482">
        <v>5</v>
      </c>
      <c r="J9" s="482">
        <v>6</v>
      </c>
      <c r="K9" s="136"/>
      <c r="L9" s="136"/>
    </row>
    <row r="10" spans="1:12" ht="15.75">
      <c r="A10" s="311"/>
      <c r="B10" s="764" t="s">
        <v>176</v>
      </c>
      <c r="C10" s="769"/>
      <c r="D10" s="483" t="s">
        <v>177</v>
      </c>
      <c r="E10" s="484"/>
      <c r="F10" s="485"/>
      <c r="G10" s="486"/>
      <c r="H10" s="516"/>
      <c r="I10" s="485"/>
      <c r="J10" s="486"/>
      <c r="K10" s="136"/>
      <c r="L10" s="136"/>
    </row>
    <row r="11" spans="1:12" ht="15.75">
      <c r="A11" s="311"/>
      <c r="B11" s="772" t="s">
        <v>178</v>
      </c>
      <c r="C11" s="773"/>
      <c r="D11" s="487" t="s">
        <v>179</v>
      </c>
      <c r="E11" s="488"/>
      <c r="F11" s="489"/>
      <c r="G11" s="490"/>
      <c r="H11" s="518"/>
      <c r="I11" s="489"/>
      <c r="J11" s="490"/>
      <c r="K11" s="136"/>
      <c r="L11" s="136"/>
    </row>
    <row r="12" spans="1:12" ht="15.75">
      <c r="A12" s="311"/>
      <c r="B12" s="772" t="s">
        <v>180</v>
      </c>
      <c r="C12" s="773"/>
      <c r="D12" s="487" t="s">
        <v>174</v>
      </c>
      <c r="E12" s="488"/>
      <c r="F12" s="489"/>
      <c r="G12" s="490"/>
      <c r="H12" s="518"/>
      <c r="I12" s="489"/>
      <c r="J12" s="490"/>
      <c r="K12" s="136"/>
      <c r="L12" s="136"/>
    </row>
    <row r="13" spans="1:12" ht="15.75">
      <c r="A13" s="311"/>
      <c r="B13" s="772" t="s">
        <v>181</v>
      </c>
      <c r="C13" s="773"/>
      <c r="D13" s="487" t="s">
        <v>175</v>
      </c>
      <c r="E13" s="488"/>
      <c r="F13" s="489"/>
      <c r="G13" s="490"/>
      <c r="H13" s="518"/>
      <c r="I13" s="489"/>
      <c r="J13" s="490"/>
      <c r="K13" s="136"/>
      <c r="L13" s="136"/>
    </row>
    <row r="14" spans="1:12" ht="15.75">
      <c r="A14" s="311"/>
      <c r="B14" s="772" t="s">
        <v>182</v>
      </c>
      <c r="C14" s="773"/>
      <c r="D14" s="487" t="s">
        <v>183</v>
      </c>
      <c r="E14" s="488"/>
      <c r="F14" s="489"/>
      <c r="G14" s="490"/>
      <c r="H14" s="518"/>
      <c r="I14" s="489"/>
      <c r="J14" s="490"/>
      <c r="K14" s="136"/>
      <c r="L14" s="136"/>
    </row>
    <row r="15" spans="1:12" ht="15.75">
      <c r="A15" s="311"/>
      <c r="B15" s="772" t="s">
        <v>184</v>
      </c>
      <c r="C15" s="773" t="s">
        <v>185</v>
      </c>
      <c r="D15" s="487" t="s">
        <v>186</v>
      </c>
      <c r="E15" s="491">
        <f aca="true" t="shared" si="0" ref="E15:J15">E13-E14</f>
        <v>0</v>
      </c>
      <c r="F15" s="492">
        <f t="shared" si="0"/>
        <v>0</v>
      </c>
      <c r="G15" s="493">
        <f t="shared" si="0"/>
        <v>0</v>
      </c>
      <c r="H15" s="637">
        <f t="shared" si="0"/>
        <v>0</v>
      </c>
      <c r="I15" s="492">
        <f t="shared" si="0"/>
        <v>0</v>
      </c>
      <c r="J15" s="493">
        <f t="shared" si="0"/>
        <v>0</v>
      </c>
      <c r="K15" s="136"/>
      <c r="L15" s="136"/>
    </row>
    <row r="16" spans="1:12" ht="15.75">
      <c r="A16" s="311"/>
      <c r="B16" s="772" t="s">
        <v>187</v>
      </c>
      <c r="C16" s="773"/>
      <c r="D16" s="487" t="s">
        <v>188</v>
      </c>
      <c r="E16" s="494" t="e">
        <f aca="true" t="shared" si="1" ref="E16:J16">E12/E15</f>
        <v>#DIV/0!</v>
      </c>
      <c r="F16" s="495" t="e">
        <f t="shared" si="1"/>
        <v>#DIV/0!</v>
      </c>
      <c r="G16" s="496" t="e">
        <f t="shared" si="1"/>
        <v>#DIV/0!</v>
      </c>
      <c r="H16" s="638" t="e">
        <f t="shared" si="1"/>
        <v>#DIV/0!</v>
      </c>
      <c r="I16" s="495" t="e">
        <f t="shared" si="1"/>
        <v>#DIV/0!</v>
      </c>
      <c r="J16" s="496" t="e">
        <f t="shared" si="1"/>
        <v>#DIV/0!</v>
      </c>
      <c r="K16" s="136"/>
      <c r="L16" s="136"/>
    </row>
    <row r="17" spans="1:12" ht="15.75">
      <c r="A17" s="311"/>
      <c r="B17" s="772" t="s">
        <v>189</v>
      </c>
      <c r="C17" s="773"/>
      <c r="D17" s="487" t="s">
        <v>190</v>
      </c>
      <c r="E17" s="497"/>
      <c r="F17" s="498"/>
      <c r="G17" s="499"/>
      <c r="H17" s="639"/>
      <c r="I17" s="498"/>
      <c r="J17" s="499"/>
      <c r="K17" s="136"/>
      <c r="L17" s="136"/>
    </row>
    <row r="18" spans="1:12" ht="15.75">
      <c r="A18" s="311"/>
      <c r="B18" s="772" t="s">
        <v>191</v>
      </c>
      <c r="C18" s="773"/>
      <c r="D18" s="487" t="s">
        <v>192</v>
      </c>
      <c r="E18" s="500" t="e">
        <f aca="true" t="shared" si="2" ref="E18:J18">100*((E17-E16)/E17)</f>
        <v>#DIV/0!</v>
      </c>
      <c r="F18" s="501" t="e">
        <f t="shared" si="2"/>
        <v>#DIV/0!</v>
      </c>
      <c r="G18" s="502" t="e">
        <f t="shared" si="2"/>
        <v>#DIV/0!</v>
      </c>
      <c r="H18" s="522" t="e">
        <f t="shared" si="2"/>
        <v>#DIV/0!</v>
      </c>
      <c r="I18" s="501" t="e">
        <f t="shared" si="2"/>
        <v>#DIV/0!</v>
      </c>
      <c r="J18" s="502" t="e">
        <f t="shared" si="2"/>
        <v>#DIV/0!</v>
      </c>
      <c r="K18" s="136"/>
      <c r="L18" s="136"/>
    </row>
    <row r="19" spans="1:12" ht="16.5" thickBot="1">
      <c r="A19" s="311"/>
      <c r="B19" s="772" t="s">
        <v>193</v>
      </c>
      <c r="C19" s="773"/>
      <c r="D19" s="487" t="s">
        <v>194</v>
      </c>
      <c r="E19" s="503" t="e">
        <f aca="true" t="shared" si="3" ref="E19:J19">(E18*E15)/100</f>
        <v>#DIV/0!</v>
      </c>
      <c r="F19" s="504" t="e">
        <f t="shared" si="3"/>
        <v>#DIV/0!</v>
      </c>
      <c r="G19" s="505" t="e">
        <f t="shared" si="3"/>
        <v>#DIV/0!</v>
      </c>
      <c r="H19" s="523" t="e">
        <f t="shared" si="3"/>
        <v>#DIV/0!</v>
      </c>
      <c r="I19" s="504" t="e">
        <f t="shared" si="3"/>
        <v>#DIV/0!</v>
      </c>
      <c r="J19" s="505" t="e">
        <f t="shared" si="3"/>
        <v>#DIV/0!</v>
      </c>
      <c r="K19" s="136"/>
      <c r="L19" s="136"/>
    </row>
    <row r="20" spans="1:12" ht="16.5" thickBot="1">
      <c r="A20" s="311"/>
      <c r="B20" s="760" t="s">
        <v>227</v>
      </c>
      <c r="C20" s="761"/>
      <c r="D20" s="506" t="s">
        <v>195</v>
      </c>
      <c r="E20" s="507"/>
      <c r="F20" s="508"/>
      <c r="G20" s="509"/>
      <c r="H20" s="510"/>
      <c r="I20" s="511"/>
      <c r="J20" s="512"/>
      <c r="K20" s="136"/>
      <c r="L20" s="136"/>
    </row>
    <row r="21" spans="1:12" ht="16.5" thickBot="1">
      <c r="A21" s="311"/>
      <c r="B21" s="311"/>
      <c r="C21" s="311"/>
      <c r="D21" s="326"/>
      <c r="E21" s="513"/>
      <c r="F21" s="513"/>
      <c r="G21" s="513"/>
      <c r="H21" s="513"/>
      <c r="I21" s="513"/>
      <c r="J21" s="513"/>
      <c r="K21" s="136"/>
      <c r="L21" s="136"/>
    </row>
    <row r="22" spans="1:12" ht="16.5" thickBot="1">
      <c r="A22" s="311"/>
      <c r="B22" s="752" t="s">
        <v>225</v>
      </c>
      <c r="C22" s="754"/>
      <c r="D22" s="755"/>
      <c r="E22" s="514">
        <v>1</v>
      </c>
      <c r="F22" s="514">
        <v>2</v>
      </c>
      <c r="G22" s="514">
        <v>3</v>
      </c>
      <c r="H22" s="311"/>
      <c r="I22" s="311"/>
      <c r="J22" s="311"/>
      <c r="K22" s="136"/>
      <c r="L22" s="136"/>
    </row>
    <row r="23" spans="1:12" ht="15.75">
      <c r="A23" s="311"/>
      <c r="B23" s="756" t="s">
        <v>196</v>
      </c>
      <c r="C23" s="757"/>
      <c r="D23" s="515" t="s">
        <v>197</v>
      </c>
      <c r="E23" s="516"/>
      <c r="F23" s="485"/>
      <c r="G23" s="486"/>
      <c r="H23" s="311"/>
      <c r="I23" s="311"/>
      <c r="J23" s="311"/>
      <c r="K23" s="136"/>
      <c r="L23" s="136"/>
    </row>
    <row r="24" spans="1:12" ht="15.75">
      <c r="A24" s="311"/>
      <c r="B24" s="772" t="s">
        <v>198</v>
      </c>
      <c r="C24" s="774"/>
      <c r="D24" s="517" t="s">
        <v>199</v>
      </c>
      <c r="E24" s="518"/>
      <c r="F24" s="489"/>
      <c r="G24" s="490"/>
      <c r="H24" s="311"/>
      <c r="I24" s="311"/>
      <c r="J24" s="311"/>
      <c r="K24" s="136"/>
      <c r="L24" s="136"/>
    </row>
    <row r="25" spans="1:12" ht="15.75">
      <c r="A25" s="311"/>
      <c r="B25" s="772" t="s">
        <v>200</v>
      </c>
      <c r="C25" s="774"/>
      <c r="D25" s="517" t="s">
        <v>201</v>
      </c>
      <c r="E25" s="519">
        <f>E23-E24</f>
        <v>0</v>
      </c>
      <c r="F25" s="520">
        <f>F23-F24</f>
        <v>0</v>
      </c>
      <c r="G25" s="521">
        <f>G23-G24</f>
        <v>0</v>
      </c>
      <c r="H25" s="311"/>
      <c r="I25" s="311"/>
      <c r="J25" s="311"/>
      <c r="K25" s="136"/>
      <c r="L25" s="136"/>
    </row>
    <row r="26" spans="1:12" ht="15.75">
      <c r="A26" s="311"/>
      <c r="B26" s="772" t="s">
        <v>202</v>
      </c>
      <c r="C26" s="774"/>
      <c r="D26" s="517" t="s">
        <v>203</v>
      </c>
      <c r="E26" s="519">
        <f>E23-E12</f>
        <v>0</v>
      </c>
      <c r="F26" s="520">
        <f>F23-F12</f>
        <v>0</v>
      </c>
      <c r="G26" s="521">
        <f>G23-G12</f>
        <v>0</v>
      </c>
      <c r="H26" s="311"/>
      <c r="I26" s="311"/>
      <c r="J26" s="311"/>
      <c r="K26" s="136"/>
      <c r="L26" s="136"/>
    </row>
    <row r="27" spans="1:12" ht="15.75">
      <c r="A27" s="311"/>
      <c r="B27" s="772" t="s">
        <v>204</v>
      </c>
      <c r="C27" s="774"/>
      <c r="D27" s="517"/>
      <c r="E27" s="522" t="e">
        <f>(100*E26)/E19</f>
        <v>#DIV/0!</v>
      </c>
      <c r="F27" s="501" t="e">
        <f>(100*F26)/F19</f>
        <v>#DIV/0!</v>
      </c>
      <c r="G27" s="502" t="e">
        <f>(100*G26)/G19</f>
        <v>#DIV/0!</v>
      </c>
      <c r="H27" s="311"/>
      <c r="I27" s="311"/>
      <c r="J27" s="311"/>
      <c r="K27" s="136"/>
      <c r="L27" s="136"/>
    </row>
    <row r="28" spans="1:12" ht="16.5" thickBot="1">
      <c r="A28" s="311"/>
      <c r="B28" s="760" t="s">
        <v>205</v>
      </c>
      <c r="C28" s="768"/>
      <c r="D28" s="506"/>
      <c r="E28" s="523" t="e">
        <f>((100*(E25-E15))/E25)</f>
        <v>#DIV/0!</v>
      </c>
      <c r="F28" s="504" t="e">
        <f>((100*(F25-F15))/F25)</f>
        <v>#DIV/0!</v>
      </c>
      <c r="G28" s="505" t="e">
        <f>((100*(G25-G15))/G25)</f>
        <v>#DIV/0!</v>
      </c>
      <c r="H28" s="311"/>
      <c r="I28" s="311"/>
      <c r="J28" s="311"/>
      <c r="K28" s="136"/>
      <c r="L28" s="136"/>
    </row>
    <row r="29" spans="1:12" ht="16.5" thickBot="1">
      <c r="A29" s="311"/>
      <c r="B29" s="311"/>
      <c r="C29" s="311"/>
      <c r="D29" s="326"/>
      <c r="E29" s="311"/>
      <c r="F29" s="311"/>
      <c r="G29" s="311"/>
      <c r="H29" s="311"/>
      <c r="I29" s="311"/>
      <c r="J29" s="311"/>
      <c r="K29" s="136"/>
      <c r="L29" s="136"/>
    </row>
    <row r="30" spans="1:12" ht="16.5" thickBot="1">
      <c r="A30" s="311"/>
      <c r="B30" s="752" t="s">
        <v>226</v>
      </c>
      <c r="C30" s="754"/>
      <c r="D30" s="755"/>
      <c r="E30" s="514">
        <v>1</v>
      </c>
      <c r="F30" s="514">
        <v>2</v>
      </c>
      <c r="G30" s="514">
        <v>3</v>
      </c>
      <c r="H30" s="311"/>
      <c r="I30" s="311"/>
      <c r="J30" s="311"/>
      <c r="K30" s="136"/>
      <c r="L30" s="136"/>
    </row>
    <row r="31" spans="1:12" ht="15.75">
      <c r="A31" s="311"/>
      <c r="B31" s="756" t="s">
        <v>178</v>
      </c>
      <c r="C31" s="757"/>
      <c r="D31" s="515" t="s">
        <v>206</v>
      </c>
      <c r="E31" s="484"/>
      <c r="F31" s="485"/>
      <c r="G31" s="486"/>
      <c r="H31" s="311"/>
      <c r="I31" s="311"/>
      <c r="J31" s="311"/>
      <c r="K31" s="136"/>
      <c r="L31" s="136"/>
    </row>
    <row r="32" spans="1:12" ht="15.75">
      <c r="A32" s="311"/>
      <c r="B32" s="756" t="s">
        <v>207</v>
      </c>
      <c r="C32" s="757"/>
      <c r="D32" s="517" t="s">
        <v>208</v>
      </c>
      <c r="E32" s="488"/>
      <c r="F32" s="489"/>
      <c r="G32" s="490"/>
      <c r="H32" s="311"/>
      <c r="I32" s="311"/>
      <c r="J32" s="311"/>
      <c r="K32" s="136"/>
      <c r="L32" s="136"/>
    </row>
    <row r="33" spans="1:12" ht="15.75">
      <c r="A33" s="311"/>
      <c r="B33" s="756" t="s">
        <v>198</v>
      </c>
      <c r="C33" s="757"/>
      <c r="D33" s="517" t="s">
        <v>209</v>
      </c>
      <c r="E33" s="488"/>
      <c r="F33" s="489"/>
      <c r="G33" s="490"/>
      <c r="H33" s="311"/>
      <c r="I33" s="311"/>
      <c r="J33" s="311"/>
      <c r="K33" s="136"/>
      <c r="L33" s="136"/>
    </row>
    <row r="34" spans="1:12" ht="15.75">
      <c r="A34" s="311"/>
      <c r="B34" s="756" t="s">
        <v>210</v>
      </c>
      <c r="C34" s="757"/>
      <c r="D34" s="517" t="s">
        <v>211</v>
      </c>
      <c r="E34" s="524">
        <f>E32-E33</f>
        <v>0</v>
      </c>
      <c r="F34" s="519">
        <f>F32-F33</f>
        <v>0</v>
      </c>
      <c r="G34" s="525">
        <f>G32-G33</f>
        <v>0</v>
      </c>
      <c r="H34" s="326">
        <v>0</v>
      </c>
      <c r="I34" s="326">
        <v>0</v>
      </c>
      <c r="J34" s="326">
        <v>0</v>
      </c>
      <c r="K34" s="136"/>
      <c r="L34" s="136"/>
    </row>
    <row r="35" spans="1:12" ht="15.75">
      <c r="A35" s="311"/>
      <c r="B35" s="756" t="s">
        <v>212</v>
      </c>
      <c r="C35" s="757"/>
      <c r="D35" s="517" t="s">
        <v>213</v>
      </c>
      <c r="E35" s="524">
        <f>E32-E12</f>
        <v>0</v>
      </c>
      <c r="F35" s="519">
        <f>F32-F12</f>
        <v>0</v>
      </c>
      <c r="G35" s="525">
        <f>G32-G12</f>
        <v>0</v>
      </c>
      <c r="H35" s="326">
        <v>0</v>
      </c>
      <c r="I35" s="326">
        <v>0</v>
      </c>
      <c r="J35" s="326">
        <v>0</v>
      </c>
      <c r="K35" s="136"/>
      <c r="L35" s="136"/>
    </row>
    <row r="36" spans="1:12" ht="15.75">
      <c r="A36" s="311"/>
      <c r="B36" s="756" t="s">
        <v>214</v>
      </c>
      <c r="C36" s="757"/>
      <c r="D36" s="517"/>
      <c r="E36" s="524" t="e">
        <f>(100*E35)/E19</f>
        <v>#DIV/0!</v>
      </c>
      <c r="F36" s="519" t="e">
        <f>(100*F35)/F19</f>
        <v>#DIV/0!</v>
      </c>
      <c r="G36" s="525" t="e">
        <f>(100*G35)/G19</f>
        <v>#DIV/0!</v>
      </c>
      <c r="H36" s="326"/>
      <c r="I36" s="326"/>
      <c r="J36" s="326"/>
      <c r="K36" s="136"/>
      <c r="L36" s="136"/>
    </row>
    <row r="37" spans="1:12" ht="15.75">
      <c r="A37" s="311"/>
      <c r="B37" s="758" t="s">
        <v>215</v>
      </c>
      <c r="C37" s="759"/>
      <c r="D37" s="517"/>
      <c r="E37" s="524" t="e">
        <f>(100*(E34-E15))/E15</f>
        <v>#DIV/0!</v>
      </c>
      <c r="F37" s="519" t="e">
        <f>(100*(F34-F15))/F15</f>
        <v>#DIV/0!</v>
      </c>
      <c r="G37" s="525" t="e">
        <f>(100*(G34-G15))/G15</f>
        <v>#DIV/0!</v>
      </c>
      <c r="H37" s="326"/>
      <c r="I37" s="326"/>
      <c r="J37" s="326"/>
      <c r="K37" s="136"/>
      <c r="L37" s="136"/>
    </row>
    <row r="38" spans="1:12" ht="16.5" thickBot="1">
      <c r="A38" s="311"/>
      <c r="B38" s="760" t="s">
        <v>227</v>
      </c>
      <c r="C38" s="761"/>
      <c r="D38" s="506" t="s">
        <v>216</v>
      </c>
      <c r="E38" s="526"/>
      <c r="F38" s="527"/>
      <c r="G38" s="528"/>
      <c r="H38" s="326"/>
      <c r="I38" s="326"/>
      <c r="J38" s="326"/>
      <c r="K38" s="136"/>
      <c r="L38" s="136"/>
    </row>
    <row r="39" spans="1:12" ht="16.5" thickBot="1">
      <c r="A39" s="415"/>
      <c r="B39" s="529"/>
      <c r="C39" s="529"/>
      <c r="D39" s="513"/>
      <c r="E39" s="530"/>
      <c r="F39" s="530"/>
      <c r="G39" s="530"/>
      <c r="H39" s="326"/>
      <c r="I39" s="326"/>
      <c r="J39" s="326"/>
      <c r="K39" s="136"/>
      <c r="L39" s="136"/>
    </row>
    <row r="40" spans="1:12" ht="16.5" thickBot="1">
      <c r="A40" s="311"/>
      <c r="B40" s="752" t="s">
        <v>228</v>
      </c>
      <c r="C40" s="754"/>
      <c r="D40" s="753"/>
      <c r="E40" s="514">
        <v>1</v>
      </c>
      <c r="F40" s="514">
        <v>2</v>
      </c>
      <c r="G40" s="514">
        <v>3</v>
      </c>
      <c r="H40" s="514">
        <v>4</v>
      </c>
      <c r="I40" s="514">
        <v>5</v>
      </c>
      <c r="J40" s="514">
        <v>6</v>
      </c>
      <c r="K40" s="136"/>
      <c r="L40" s="136"/>
    </row>
    <row r="41" spans="1:12" ht="15.75">
      <c r="A41" s="311"/>
      <c r="B41" s="764" t="s">
        <v>217</v>
      </c>
      <c r="C41" s="769"/>
      <c r="D41" s="515" t="s">
        <v>218</v>
      </c>
      <c r="E41" s="531"/>
      <c r="F41" s="532"/>
      <c r="G41" s="532"/>
      <c r="H41" s="533" t="e">
        <f>(2000*H20)/(H11*H10*3.1416)</f>
        <v>#DIV/0!</v>
      </c>
      <c r="I41" s="533" t="e">
        <f>(2000*I20)/(I11*I10*3.1416)</f>
        <v>#DIV/0!</v>
      </c>
      <c r="J41" s="534" t="e">
        <f>(2000*J20)/(J11*J10*3.1416)</f>
        <v>#DIV/0!</v>
      </c>
      <c r="K41" s="136"/>
      <c r="L41" s="136"/>
    </row>
    <row r="42" spans="1:12" ht="16.5" thickBot="1">
      <c r="A42" s="311"/>
      <c r="B42" s="770" t="s">
        <v>219</v>
      </c>
      <c r="C42" s="771"/>
      <c r="D42" s="506" t="s">
        <v>220</v>
      </c>
      <c r="E42" s="535" t="e">
        <f>(2000*E38)/(E31*E10*3.1416)</f>
        <v>#DIV/0!</v>
      </c>
      <c r="F42" s="536" t="e">
        <f>(2000*F38)/(F31*F10*3.1416)</f>
        <v>#DIV/0!</v>
      </c>
      <c r="G42" s="536" t="e">
        <f>(2000*G38)/(G31*G10*3.1416)</f>
        <v>#DIV/0!</v>
      </c>
      <c r="H42" s="508"/>
      <c r="I42" s="508"/>
      <c r="J42" s="509"/>
      <c r="K42" s="136"/>
      <c r="L42" s="136"/>
    </row>
    <row r="43" spans="1:12" ht="16.5" thickBot="1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136"/>
      <c r="L43" s="136"/>
    </row>
    <row r="44" spans="1:12" ht="16.5" thickBot="1">
      <c r="A44" s="311"/>
      <c r="B44" s="752" t="s">
        <v>229</v>
      </c>
      <c r="C44" s="753"/>
      <c r="D44" s="537"/>
      <c r="E44" s="311"/>
      <c r="F44" s="311"/>
      <c r="G44" s="311"/>
      <c r="H44" s="311"/>
      <c r="I44" s="311"/>
      <c r="J44" s="311"/>
      <c r="K44" s="136"/>
      <c r="L44" s="136"/>
    </row>
    <row r="45" spans="1:12" ht="16.5" thickBot="1">
      <c r="A45" s="311"/>
      <c r="B45" s="762" t="s">
        <v>230</v>
      </c>
      <c r="C45" s="763"/>
      <c r="D45" s="763"/>
      <c r="E45" s="538" t="e">
        <f>AVERAGE(H41:J41)</f>
        <v>#DIV/0!</v>
      </c>
      <c r="F45" s="311"/>
      <c r="G45" s="311"/>
      <c r="H45" s="311"/>
      <c r="I45" s="311"/>
      <c r="J45" s="311"/>
      <c r="K45" s="136"/>
      <c r="L45" s="136"/>
    </row>
    <row r="46" spans="1:12" ht="16.5" thickBot="1">
      <c r="A46" s="311"/>
      <c r="B46" s="764" t="s">
        <v>231</v>
      </c>
      <c r="C46" s="765"/>
      <c r="D46" s="766"/>
      <c r="E46" s="539" t="e">
        <f>AVERAGE(E42:G42)</f>
        <v>#DIV/0!</v>
      </c>
      <c r="F46" s="311"/>
      <c r="G46" s="311"/>
      <c r="H46" s="311"/>
      <c r="I46" s="311"/>
      <c r="J46" s="311"/>
      <c r="K46" s="136"/>
      <c r="L46" s="136"/>
    </row>
    <row r="47" spans="1:12" ht="16.5" thickBot="1">
      <c r="A47" s="311"/>
      <c r="B47" s="760" t="s">
        <v>232</v>
      </c>
      <c r="C47" s="767"/>
      <c r="D47" s="768"/>
      <c r="E47" s="540" t="e">
        <f>E46/E45</f>
        <v>#DIV/0!</v>
      </c>
      <c r="F47" s="311"/>
      <c r="G47" s="311"/>
      <c r="H47" s="311"/>
      <c r="I47" s="311"/>
      <c r="J47" s="311"/>
      <c r="K47" s="136"/>
      <c r="L47" s="136"/>
    </row>
    <row r="48" spans="1:12" ht="15.75">
      <c r="A48" s="311"/>
      <c r="B48" s="529"/>
      <c r="C48" s="529"/>
      <c r="D48" s="529"/>
      <c r="E48" s="541"/>
      <c r="F48" s="311"/>
      <c r="G48" s="311"/>
      <c r="H48" s="311"/>
      <c r="I48" s="311"/>
      <c r="J48" s="311"/>
      <c r="K48" s="136"/>
      <c r="L48" s="136"/>
    </row>
    <row r="49" spans="1:12" ht="16.5" thickBot="1">
      <c r="A49" s="311"/>
      <c r="B49" s="311"/>
      <c r="C49" s="311"/>
      <c r="D49" s="311"/>
      <c r="E49" s="311"/>
      <c r="F49" s="311"/>
      <c r="G49" s="311"/>
      <c r="H49" s="311"/>
      <c r="I49" s="311"/>
      <c r="J49" s="311"/>
      <c r="K49" s="136"/>
      <c r="L49" s="136"/>
    </row>
    <row r="50" spans="1:12" ht="16.5" thickBot="1">
      <c r="A50" s="311"/>
      <c r="B50" s="542" t="s">
        <v>239</v>
      </c>
      <c r="C50" s="543"/>
      <c r="D50" s="544"/>
      <c r="E50" s="311"/>
      <c r="F50" s="311"/>
      <c r="G50" s="311"/>
      <c r="H50" s="311"/>
      <c r="I50" s="311"/>
      <c r="J50" s="311"/>
      <c r="K50" s="136"/>
      <c r="L50" s="136"/>
    </row>
    <row r="51" spans="1:12" ht="16.5" thickBot="1">
      <c r="A51" s="311"/>
      <c r="B51" s="545" t="s">
        <v>233</v>
      </c>
      <c r="C51" s="546"/>
      <c r="D51" s="546"/>
      <c r="E51" s="547"/>
      <c r="F51" s="546"/>
      <c r="G51" s="546"/>
      <c r="H51" s="546"/>
      <c r="I51" s="547"/>
      <c r="J51" s="311"/>
      <c r="K51" s="136"/>
      <c r="L51" s="136"/>
    </row>
    <row r="52" spans="1:12" ht="15.75">
      <c r="A52" s="311"/>
      <c r="B52" s="548">
        <v>1</v>
      </c>
      <c r="C52" s="549" t="e">
        <f>IF(B52=1,$E$18,IF(B52=2,$F$18,IF(B52=3,$G$18,IF(B52=4,$H$18,IF(B52=5,$I$18,IF(B52=6,$J$18,""))))))</f>
        <v>#DIV/0!</v>
      </c>
      <c r="D52" s="550">
        <v>4</v>
      </c>
      <c r="E52" s="551" t="e">
        <f>IF(D52=1,$E$18,IF(D52=2,$F$18,IF(D52=3,$G$18,IF(D52=4,$H$18,IF(D52=5,$I$18,IF(D52=6,$J$18,""))))))</f>
        <v>#DIV/0!</v>
      </c>
      <c r="F52" s="552"/>
      <c r="G52" s="552"/>
      <c r="H52" s="552"/>
      <c r="I52" s="553"/>
      <c r="J52" s="311"/>
      <c r="K52" s="136"/>
      <c r="L52" s="136"/>
    </row>
    <row r="53" spans="1:12" ht="15.75">
      <c r="A53" s="311"/>
      <c r="B53" s="554">
        <v>2</v>
      </c>
      <c r="C53" s="555" t="e">
        <f aca="true" t="shared" si="4" ref="C53:E54">IF(B53=1,$E$18,IF(B53=2,$F$18,IF(B53=3,$G$18,IF(B53=4,$H$18,IF(B53=5,$I$18,IF(B53=6,$J$18,""))))))</f>
        <v>#DIV/0!</v>
      </c>
      <c r="D53" s="556">
        <v>5</v>
      </c>
      <c r="E53" s="557" t="e">
        <f t="shared" si="4"/>
        <v>#DIV/0!</v>
      </c>
      <c r="F53" s="552"/>
      <c r="G53" s="552"/>
      <c r="H53" s="552"/>
      <c r="I53" s="553"/>
      <c r="J53" s="311"/>
      <c r="K53" s="136"/>
      <c r="L53" s="136"/>
    </row>
    <row r="54" spans="1:12" ht="16.5" thickBot="1">
      <c r="A54" s="311"/>
      <c r="B54" s="558">
        <v>3</v>
      </c>
      <c r="C54" s="559" t="e">
        <f t="shared" si="4"/>
        <v>#DIV/0!</v>
      </c>
      <c r="D54" s="560">
        <v>6</v>
      </c>
      <c r="E54" s="561" t="e">
        <f t="shared" si="4"/>
        <v>#DIV/0!</v>
      </c>
      <c r="F54" s="552"/>
      <c r="G54" s="552"/>
      <c r="H54" s="552"/>
      <c r="I54" s="553"/>
      <c r="J54" s="311"/>
      <c r="K54" s="136"/>
      <c r="L54" s="136"/>
    </row>
    <row r="55" spans="1:12" ht="16.5" thickBot="1">
      <c r="A55" s="311"/>
      <c r="B55" s="562" t="s">
        <v>87</v>
      </c>
      <c r="C55" s="563" t="e">
        <f>AVERAGE(C52:C54)</f>
        <v>#DIV/0!</v>
      </c>
      <c r="D55" s="564"/>
      <c r="E55" s="565" t="e">
        <f>AVERAGE(E52:E54)</f>
        <v>#DIV/0!</v>
      </c>
      <c r="F55" s="552"/>
      <c r="G55" s="552"/>
      <c r="H55" s="552"/>
      <c r="I55" s="553"/>
      <c r="J55" s="311"/>
      <c r="K55" s="136"/>
      <c r="L55" s="136"/>
    </row>
    <row r="56" spans="1:12" ht="16.5" thickBot="1">
      <c r="A56" s="311"/>
      <c r="B56" s="566"/>
      <c r="C56" s="567"/>
      <c r="D56" s="567"/>
      <c r="E56" s="568" t="s">
        <v>234</v>
      </c>
      <c r="F56" s="552"/>
      <c r="G56" s="552"/>
      <c r="H56" s="552"/>
      <c r="I56" s="553"/>
      <c r="J56" s="159"/>
      <c r="K56" s="136"/>
      <c r="L56" s="136"/>
    </row>
    <row r="57" spans="1:12" ht="16.5" thickBot="1">
      <c r="A57" s="311"/>
      <c r="B57" s="569"/>
      <c r="C57" s="570"/>
      <c r="D57" s="751"/>
      <c r="E57" s="751"/>
      <c r="F57" s="552"/>
      <c r="G57" s="552"/>
      <c r="H57" s="552"/>
      <c r="I57" s="553"/>
      <c r="J57" s="159"/>
      <c r="K57" s="136"/>
      <c r="L57" s="136"/>
    </row>
    <row r="58" spans="1:12" ht="16.5" thickBot="1">
      <c r="A58" s="311"/>
      <c r="B58" s="545" t="s">
        <v>238</v>
      </c>
      <c r="C58" s="571"/>
      <c r="D58" s="546"/>
      <c r="E58" s="546"/>
      <c r="F58" s="546"/>
      <c r="G58" s="546"/>
      <c r="H58" s="546"/>
      <c r="I58" s="547"/>
      <c r="J58" s="311"/>
      <c r="K58" s="136"/>
      <c r="L58" s="136"/>
    </row>
    <row r="59" spans="1:12" ht="16.5" thickBot="1">
      <c r="A59" s="311"/>
      <c r="B59" s="572">
        <v>1</v>
      </c>
      <c r="C59" s="573">
        <v>2</v>
      </c>
      <c r="D59" s="574">
        <v>3</v>
      </c>
      <c r="E59" s="575"/>
      <c r="F59" s="552"/>
      <c r="G59" s="552"/>
      <c r="H59" s="552"/>
      <c r="I59" s="553"/>
      <c r="J59" s="311"/>
      <c r="K59" s="136"/>
      <c r="L59" s="136"/>
    </row>
    <row r="60" spans="1:12" ht="15.75">
      <c r="A60" s="311"/>
      <c r="B60" s="576" t="e">
        <f>E19</f>
        <v>#DIV/0!</v>
      </c>
      <c r="C60" s="577" t="e">
        <f>F19</f>
        <v>#DIV/0!</v>
      </c>
      <c r="D60" s="578" t="e">
        <f>G19</f>
        <v>#DIV/0!</v>
      </c>
      <c r="E60" s="575" t="s">
        <v>235</v>
      </c>
      <c r="F60" s="552"/>
      <c r="G60" s="552"/>
      <c r="H60" s="552"/>
      <c r="I60" s="553"/>
      <c r="J60" s="311"/>
      <c r="K60" s="136"/>
      <c r="L60" s="136"/>
    </row>
    <row r="61" spans="1:12" ht="18.75">
      <c r="A61" s="311"/>
      <c r="B61" s="579" t="e">
        <f>0.7*B60</f>
        <v>#DIV/0!</v>
      </c>
      <c r="C61" s="580" t="e">
        <f>0.7*C60</f>
        <v>#DIV/0!</v>
      </c>
      <c r="D61" s="581" t="e">
        <f>0.7*D60</f>
        <v>#DIV/0!</v>
      </c>
      <c r="E61" s="575" t="s">
        <v>236</v>
      </c>
      <c r="F61" s="552"/>
      <c r="G61" s="552"/>
      <c r="H61" s="552"/>
      <c r="I61" s="553"/>
      <c r="J61" s="311"/>
      <c r="K61" s="136"/>
      <c r="L61" s="136"/>
    </row>
    <row r="62" spans="1:12" ht="16.5" thickBot="1">
      <c r="A62" s="311"/>
      <c r="B62" s="582" t="e">
        <f>E12+B61</f>
        <v>#DIV/0!</v>
      </c>
      <c r="C62" s="583" t="e">
        <f>F12+C61</f>
        <v>#DIV/0!</v>
      </c>
      <c r="D62" s="584" t="e">
        <f>G12+D61</f>
        <v>#DIV/0!</v>
      </c>
      <c r="E62" s="585" t="s">
        <v>237</v>
      </c>
      <c r="F62" s="567"/>
      <c r="G62" s="567"/>
      <c r="H62" s="567"/>
      <c r="I62" s="586"/>
      <c r="J62" s="311"/>
      <c r="K62" s="136"/>
      <c r="L62" s="136"/>
    </row>
    <row r="63" spans="1:10" ht="15.75">
      <c r="A63" s="311"/>
      <c r="B63" s="311"/>
      <c r="C63" s="311"/>
      <c r="D63" s="311"/>
      <c r="E63" s="311"/>
      <c r="F63" s="311"/>
      <c r="G63" s="311"/>
      <c r="H63" s="311"/>
      <c r="I63" s="311"/>
      <c r="J63" s="311"/>
    </row>
    <row r="64" spans="1:10" ht="15.75">
      <c r="A64" s="311"/>
      <c r="B64" s="311"/>
      <c r="C64" s="311"/>
      <c r="D64" s="311"/>
      <c r="E64" s="311"/>
      <c r="F64" s="311"/>
      <c r="G64" s="311"/>
      <c r="H64" s="311"/>
      <c r="I64" s="311"/>
      <c r="J64" s="311"/>
    </row>
    <row r="65" spans="1:10" ht="15.75">
      <c r="A65" s="311"/>
      <c r="B65" s="311"/>
      <c r="C65" s="311"/>
      <c r="D65" s="311"/>
      <c r="E65" s="159"/>
      <c r="F65" s="159"/>
      <c r="G65" s="159"/>
      <c r="H65" s="311"/>
      <c r="I65" s="311"/>
      <c r="J65" s="311"/>
    </row>
    <row r="66" spans="5:7" ht="15.75">
      <c r="E66" s="52"/>
      <c r="F66" s="52"/>
      <c r="G66" s="52"/>
    </row>
    <row r="67" spans="4:8" ht="15.75">
      <c r="D67" s="3"/>
      <c r="E67" s="52"/>
      <c r="F67" s="52"/>
      <c r="G67" s="52"/>
      <c r="H67" s="3"/>
    </row>
    <row r="68" spans="4:8" ht="15.75">
      <c r="D68" s="3"/>
      <c r="E68" s="52"/>
      <c r="F68" s="52"/>
      <c r="G68" s="52"/>
      <c r="H68" s="3"/>
    </row>
    <row r="69" spans="4:8" ht="15.75">
      <c r="D69" s="3"/>
      <c r="E69" s="52"/>
      <c r="F69" s="52"/>
      <c r="G69" s="52"/>
      <c r="H69" s="3"/>
    </row>
    <row r="70" spans="4:8" ht="15.75">
      <c r="D70" s="3"/>
      <c r="E70" s="52"/>
      <c r="F70" s="52"/>
      <c r="G70" s="52"/>
      <c r="H70" s="3"/>
    </row>
    <row r="71" spans="5:7" ht="15.75">
      <c r="E71" s="2"/>
      <c r="F71" s="2"/>
      <c r="G71" s="2"/>
    </row>
    <row r="72" spans="5:7" ht="15.75">
      <c r="E72" s="2"/>
      <c r="F72" s="2"/>
      <c r="G72" s="2"/>
    </row>
  </sheetData>
  <sheetProtection password="C9C1" sheet="1" objects="1" scenarios="1"/>
  <mergeCells count="40">
    <mergeCell ref="B16:C16"/>
    <mergeCell ref="B17:C17"/>
    <mergeCell ref="D3:H3"/>
    <mergeCell ref="D4:H4"/>
    <mergeCell ref="E8:G8"/>
    <mergeCell ref="H8:J8"/>
    <mergeCell ref="B19:C19"/>
    <mergeCell ref="B20:C20"/>
    <mergeCell ref="B27:C27"/>
    <mergeCell ref="B25:C25"/>
    <mergeCell ref="B26:C26"/>
    <mergeCell ref="B23:C23"/>
    <mergeCell ref="B24:C24"/>
    <mergeCell ref="B28:C28"/>
    <mergeCell ref="B22:D22"/>
    <mergeCell ref="B9:D9"/>
    <mergeCell ref="B10:C10"/>
    <mergeCell ref="B11:C11"/>
    <mergeCell ref="B12:C12"/>
    <mergeCell ref="B13:C13"/>
    <mergeCell ref="B14:C14"/>
    <mergeCell ref="B15:C15"/>
    <mergeCell ref="B18:C18"/>
    <mergeCell ref="B47:D47"/>
    <mergeCell ref="B41:C41"/>
    <mergeCell ref="B42:C42"/>
    <mergeCell ref="B31:C31"/>
    <mergeCell ref="B32:C32"/>
    <mergeCell ref="B33:C33"/>
    <mergeCell ref="B34:C34"/>
    <mergeCell ref="D57:E57"/>
    <mergeCell ref="B44:C44"/>
    <mergeCell ref="B30:D30"/>
    <mergeCell ref="B40:D40"/>
    <mergeCell ref="B35:C35"/>
    <mergeCell ref="B36:C36"/>
    <mergeCell ref="B37:C37"/>
    <mergeCell ref="B38:C38"/>
    <mergeCell ref="B45:D45"/>
    <mergeCell ref="B46:D46"/>
  </mergeCells>
  <conditionalFormatting sqref="E16:J16">
    <cfRule type="expression" priority="1" dxfId="1" stopIfTrue="1">
      <formula>ISERROR($E$16:$J$16)</formula>
    </cfRule>
  </conditionalFormatting>
  <conditionalFormatting sqref="E18:J19">
    <cfRule type="expression" priority="2" dxfId="1" stopIfTrue="1">
      <formula>ISERROR($E$18:$J$19)</formula>
    </cfRule>
  </conditionalFormatting>
  <conditionalFormatting sqref="E27:G28">
    <cfRule type="expression" priority="3" dxfId="1" stopIfTrue="1">
      <formula>ISERROR($E$27:$G$28)</formula>
    </cfRule>
  </conditionalFormatting>
  <conditionalFormatting sqref="E36:G37">
    <cfRule type="expression" priority="4" dxfId="1" stopIfTrue="1">
      <formula>ISERROR($E$36:$G$37)</formula>
    </cfRule>
  </conditionalFormatting>
  <conditionalFormatting sqref="H41:J41">
    <cfRule type="expression" priority="5" dxfId="1" stopIfTrue="1">
      <formula>ISERROR($H$41:$J$41)</formula>
    </cfRule>
  </conditionalFormatting>
  <conditionalFormatting sqref="E42:G42">
    <cfRule type="expression" priority="6" dxfId="1" stopIfTrue="1">
      <formula>ISERROR($E$42:$G$42)</formula>
    </cfRule>
  </conditionalFormatting>
  <conditionalFormatting sqref="E45:E47">
    <cfRule type="expression" priority="7" dxfId="1" stopIfTrue="1">
      <formula>ISERROR($E$45:$E$47)</formula>
    </cfRule>
  </conditionalFormatting>
  <conditionalFormatting sqref="C52:C55 E52:E55">
    <cfRule type="expression" priority="8" dxfId="2" stopIfTrue="1">
      <formula>ISERROR($C$52:$C$55)</formula>
    </cfRule>
  </conditionalFormatting>
  <conditionalFormatting sqref="B60:D62">
    <cfRule type="expression" priority="9" dxfId="2" stopIfTrue="1">
      <formula>ISERROR($B$60:$D$62)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3"/>
    <pageSetUpPr fitToPage="1"/>
  </sheetPr>
  <dimension ref="B1:L37"/>
  <sheetViews>
    <sheetView showGridLines="0" showZeros="0" showOutlineSymbols="0" zoomScale="85" zoomScaleNormal="85" workbookViewId="0" topLeftCell="A1">
      <selection activeCell="C4" sqref="C4"/>
    </sheetView>
  </sheetViews>
  <sheetFormatPr defaultColWidth="9.00390625" defaultRowHeight="15.75"/>
  <cols>
    <col min="1" max="1" width="7.875" style="0" customWidth="1"/>
    <col min="2" max="2" width="10.75390625" style="0" bestFit="1" customWidth="1"/>
    <col min="4" max="4" width="14.75390625" style="0" customWidth="1"/>
    <col min="7" max="7" width="6.875" style="0" customWidth="1"/>
    <col min="8" max="8" width="10.875" style="0" customWidth="1"/>
    <col min="10" max="10" width="15.50390625" style="0" customWidth="1"/>
    <col min="11" max="11" width="10.25390625" style="0" customWidth="1"/>
    <col min="14" max="14" width="9.125" style="0" customWidth="1"/>
  </cols>
  <sheetData>
    <row r="1" spans="4:12" ht="45.75">
      <c r="D1" s="41"/>
      <c r="E1" s="86" t="s">
        <v>262</v>
      </c>
      <c r="F1" s="41"/>
      <c r="G1" s="41"/>
      <c r="H1" s="41"/>
      <c r="J1" s="41"/>
      <c r="K1" s="41"/>
      <c r="L1" s="41"/>
    </row>
    <row r="2" ht="16.5" thickBot="1"/>
    <row r="3" spans="3:8" ht="21" thickBot="1">
      <c r="C3" s="10" t="s">
        <v>0</v>
      </c>
      <c r="D3" s="778"/>
      <c r="E3" s="779"/>
      <c r="F3" s="779"/>
      <c r="G3" s="779"/>
      <c r="H3" s="780"/>
    </row>
    <row r="4" spans="3:8" ht="21" thickBot="1">
      <c r="C4" s="10" t="s">
        <v>1</v>
      </c>
      <c r="D4" s="781"/>
      <c r="E4" s="782"/>
      <c r="F4" s="782"/>
      <c r="G4" s="782"/>
      <c r="H4" s="783"/>
    </row>
    <row r="5" spans="3:8" ht="21" thickBot="1">
      <c r="C5" s="10" t="s">
        <v>2</v>
      </c>
      <c r="D5" s="784"/>
      <c r="E5" s="785"/>
      <c r="F5" s="785"/>
      <c r="G5" s="785"/>
      <c r="H5" s="786"/>
    </row>
    <row r="8" ht="16.5" thickBot="1"/>
    <row r="9" spans="2:11" ht="24" thickBot="1">
      <c r="B9" s="42" t="s">
        <v>154</v>
      </c>
      <c r="C9" s="34"/>
      <c r="D9" s="42" t="s">
        <v>155</v>
      </c>
      <c r="E9" s="46"/>
      <c r="H9" s="42" t="s">
        <v>107</v>
      </c>
      <c r="I9" s="44"/>
      <c r="J9" s="45"/>
      <c r="K9" s="15"/>
    </row>
    <row r="10" spans="2:11" ht="16.5" thickBot="1">
      <c r="B10" s="18" t="s">
        <v>156</v>
      </c>
      <c r="C10" s="18" t="s">
        <v>88</v>
      </c>
      <c r="D10" s="18" t="s">
        <v>90</v>
      </c>
      <c r="E10" s="18" t="s">
        <v>91</v>
      </c>
      <c r="H10" s="16" t="s">
        <v>114</v>
      </c>
      <c r="I10" s="18" t="s">
        <v>108</v>
      </c>
      <c r="J10" s="18" t="s">
        <v>109</v>
      </c>
      <c r="K10" s="18" t="s">
        <v>110</v>
      </c>
    </row>
    <row r="11" spans="2:11" ht="21" thickBot="1">
      <c r="B11" s="21" t="s">
        <v>157</v>
      </c>
      <c r="C11" s="21" t="s">
        <v>89</v>
      </c>
      <c r="D11" s="21" t="s">
        <v>241</v>
      </c>
      <c r="E11" s="21" t="s">
        <v>161</v>
      </c>
      <c r="H11" s="53">
        <v>1</v>
      </c>
      <c r="I11" s="35"/>
      <c r="J11" s="36"/>
      <c r="K11" s="37"/>
    </row>
    <row r="12" spans="2:11" ht="21" thickBot="1">
      <c r="B12" s="22">
        <v>1</v>
      </c>
      <c r="C12" s="35"/>
      <c r="D12" s="36"/>
      <c r="E12" s="37"/>
      <c r="H12" s="16">
        <v>2</v>
      </c>
      <c r="I12" s="38"/>
      <c r="J12" s="39"/>
      <c r="K12" s="40"/>
    </row>
    <row r="13" spans="2:5" ht="21" thickBot="1">
      <c r="B13" s="23">
        <v>2</v>
      </c>
      <c r="C13" s="38"/>
      <c r="D13" s="39"/>
      <c r="E13" s="40"/>
    </row>
    <row r="14" spans="8:11" ht="21" thickBot="1">
      <c r="H14" s="42" t="s">
        <v>164</v>
      </c>
      <c r="I14" s="44"/>
      <c r="J14" s="45"/>
      <c r="K14" s="15"/>
    </row>
    <row r="15" spans="2:11" ht="21" thickBot="1">
      <c r="B15" s="42"/>
      <c r="C15" s="88"/>
      <c r="D15" s="73" t="s">
        <v>172</v>
      </c>
      <c r="E15" s="74"/>
      <c r="F15" s="75"/>
      <c r="H15" s="14"/>
      <c r="I15" s="18" t="s">
        <v>116</v>
      </c>
      <c r="J15" s="18" t="s">
        <v>118</v>
      </c>
      <c r="K15" s="18" t="s">
        <v>119</v>
      </c>
    </row>
    <row r="16" spans="2:11" ht="21.75" thickBot="1">
      <c r="B16" s="28" t="s">
        <v>171</v>
      </c>
      <c r="C16" s="24"/>
      <c r="D16" s="24" t="s">
        <v>81</v>
      </c>
      <c r="E16" s="24" t="s">
        <v>82</v>
      </c>
      <c r="F16" s="24" t="s">
        <v>83</v>
      </c>
      <c r="H16" s="16" t="s">
        <v>114</v>
      </c>
      <c r="I16" s="19" t="s">
        <v>117</v>
      </c>
      <c r="J16" s="20" t="s">
        <v>126</v>
      </c>
      <c r="K16" s="20" t="s">
        <v>120</v>
      </c>
    </row>
    <row r="17" spans="2:11" ht="21" thickBot="1">
      <c r="B17" s="29" t="s">
        <v>84</v>
      </c>
      <c r="C17" s="27" t="s">
        <v>159</v>
      </c>
      <c r="D17" s="25" t="s">
        <v>85</v>
      </c>
      <c r="E17" s="25" t="s">
        <v>85</v>
      </c>
      <c r="F17" s="25" t="s">
        <v>85</v>
      </c>
      <c r="H17" s="18">
        <v>1</v>
      </c>
      <c r="I17" s="35"/>
      <c r="J17" s="36"/>
      <c r="K17" s="37"/>
    </row>
    <row r="18" spans="2:11" ht="21" thickBot="1">
      <c r="B18" s="101" t="s">
        <v>144</v>
      </c>
      <c r="C18" s="98"/>
      <c r="D18" s="80"/>
      <c r="E18" s="80"/>
      <c r="F18" s="81"/>
      <c r="H18" s="17">
        <v>2</v>
      </c>
      <c r="I18" s="57"/>
      <c r="J18" s="58"/>
      <c r="K18" s="59"/>
    </row>
    <row r="19" spans="2:6" ht="21" thickBot="1">
      <c r="B19" s="102" t="s">
        <v>145</v>
      </c>
      <c r="C19" s="99"/>
      <c r="D19" s="30"/>
      <c r="E19" s="30"/>
      <c r="F19" s="82"/>
    </row>
    <row r="20" spans="2:11" ht="21" thickBot="1">
      <c r="B20" s="103" t="s">
        <v>245</v>
      </c>
      <c r="C20" s="100"/>
      <c r="D20" s="83"/>
      <c r="E20" s="83"/>
      <c r="F20" s="84"/>
      <c r="H20" s="42" t="s">
        <v>129</v>
      </c>
      <c r="I20" s="43"/>
      <c r="K20" s="1"/>
    </row>
    <row r="21" spans="2:11" ht="21" thickBot="1">
      <c r="B21" s="26"/>
      <c r="C21" s="31"/>
      <c r="D21" s="33"/>
      <c r="E21" s="33"/>
      <c r="F21" s="85"/>
      <c r="H21" s="5"/>
      <c r="I21" s="6"/>
      <c r="J21" s="47" t="s">
        <v>130</v>
      </c>
      <c r="K21" s="54"/>
    </row>
    <row r="22" spans="2:11" ht="20.25">
      <c r="B22" s="101" t="s">
        <v>146</v>
      </c>
      <c r="C22" s="98"/>
      <c r="D22" s="80"/>
      <c r="E22" s="80"/>
      <c r="F22" s="81"/>
      <c r="H22" s="7"/>
      <c r="I22" s="4"/>
      <c r="J22" s="49" t="s">
        <v>131</v>
      </c>
      <c r="K22" s="55"/>
    </row>
    <row r="23" spans="2:11" ht="21" thickBot="1">
      <c r="B23" s="102" t="s">
        <v>147</v>
      </c>
      <c r="C23" s="104"/>
      <c r="D23" s="30"/>
      <c r="E23" s="30"/>
      <c r="F23" s="82"/>
      <c r="H23" s="8"/>
      <c r="I23" s="9"/>
      <c r="J23" s="48" t="s">
        <v>132</v>
      </c>
      <c r="K23" s="56"/>
    </row>
    <row r="24" spans="2:6" ht="21" thickBot="1">
      <c r="B24" s="103" t="s">
        <v>246</v>
      </c>
      <c r="C24" s="100"/>
      <c r="D24" s="83"/>
      <c r="E24" s="83"/>
      <c r="F24" s="84"/>
    </row>
    <row r="25" spans="2:12" ht="21" thickBot="1">
      <c r="B25" s="26"/>
      <c r="C25" s="31"/>
      <c r="D25" s="33"/>
      <c r="E25" s="33"/>
      <c r="F25" s="85"/>
      <c r="H25" s="775" t="s">
        <v>135</v>
      </c>
      <c r="I25" s="776"/>
      <c r="J25" s="777"/>
      <c r="K25" s="60" t="s">
        <v>138</v>
      </c>
      <c r="L25" s="60" t="s">
        <v>139</v>
      </c>
    </row>
    <row r="26" spans="2:12" ht="24" thickBot="1">
      <c r="B26" s="101" t="s">
        <v>148</v>
      </c>
      <c r="C26" s="98"/>
      <c r="D26" s="80"/>
      <c r="E26" s="80"/>
      <c r="F26" s="81"/>
      <c r="H26" s="89" t="s">
        <v>268</v>
      </c>
      <c r="I26" s="90"/>
      <c r="J26" s="91"/>
      <c r="K26" s="35"/>
      <c r="L26" s="54"/>
    </row>
    <row r="27" spans="2:12" ht="21" thickBot="1">
      <c r="B27" s="102" t="s">
        <v>153</v>
      </c>
      <c r="C27" s="104"/>
      <c r="D27" s="30"/>
      <c r="E27" s="30"/>
      <c r="F27" s="82"/>
      <c r="H27" s="92" t="s">
        <v>260</v>
      </c>
      <c r="I27" s="93"/>
      <c r="J27" s="94"/>
      <c r="K27" s="35"/>
      <c r="L27" s="54"/>
    </row>
    <row r="28" spans="2:12" ht="21" thickBot="1">
      <c r="B28" s="103" t="s">
        <v>247</v>
      </c>
      <c r="C28" s="100"/>
      <c r="D28" s="83"/>
      <c r="E28" s="83"/>
      <c r="F28" s="84"/>
      <c r="H28" s="95" t="s">
        <v>261</v>
      </c>
      <c r="I28" s="96"/>
      <c r="J28" s="97"/>
      <c r="K28" s="76"/>
      <c r="L28" s="77"/>
    </row>
    <row r="29" spans="2:6" ht="21" thickBot="1">
      <c r="B29" s="26"/>
      <c r="C29" s="31"/>
      <c r="D29" s="33"/>
      <c r="E29" s="33"/>
      <c r="F29" s="85"/>
    </row>
    <row r="30" spans="2:11" ht="21" thickBot="1">
      <c r="B30" s="101" t="s">
        <v>149</v>
      </c>
      <c r="C30" s="98"/>
      <c r="D30" s="80"/>
      <c r="E30" s="80"/>
      <c r="F30" s="81"/>
      <c r="H30" s="63" t="s">
        <v>140</v>
      </c>
      <c r="I30" s="65"/>
      <c r="J30" s="78" t="s">
        <v>141</v>
      </c>
      <c r="K30" s="78" t="s">
        <v>142</v>
      </c>
    </row>
    <row r="31" spans="2:11" ht="21" thickBot="1">
      <c r="B31" s="102" t="s">
        <v>150</v>
      </c>
      <c r="C31" s="104"/>
      <c r="D31" s="30"/>
      <c r="E31" s="30"/>
      <c r="F31" s="82"/>
      <c r="H31" s="68"/>
      <c r="I31" s="68" t="s">
        <v>121</v>
      </c>
      <c r="J31" s="35"/>
      <c r="K31" s="37"/>
    </row>
    <row r="32" spans="2:11" ht="21" thickBot="1">
      <c r="B32" s="103" t="s">
        <v>248</v>
      </c>
      <c r="C32" s="100"/>
      <c r="D32" s="83"/>
      <c r="E32" s="83"/>
      <c r="F32" s="84"/>
      <c r="H32" s="68"/>
      <c r="I32" s="68" t="s">
        <v>122</v>
      </c>
      <c r="J32" s="72"/>
      <c r="K32" s="79"/>
    </row>
    <row r="33" spans="2:11" ht="21" thickBot="1">
      <c r="B33" s="32"/>
      <c r="C33" s="31"/>
      <c r="D33" s="33"/>
      <c r="E33" s="33"/>
      <c r="F33" s="85"/>
      <c r="H33" s="71"/>
      <c r="I33" s="71" t="s">
        <v>123</v>
      </c>
      <c r="J33" s="38"/>
      <c r="K33" s="40"/>
    </row>
    <row r="34" spans="2:6" ht="21" thickBot="1">
      <c r="B34" s="101" t="s">
        <v>151</v>
      </c>
      <c r="C34" s="98"/>
      <c r="D34" s="80"/>
      <c r="E34" s="80"/>
      <c r="F34" s="81"/>
    </row>
    <row r="35" spans="2:11" ht="21" thickBot="1">
      <c r="B35" s="102" t="s">
        <v>152</v>
      </c>
      <c r="C35" s="104"/>
      <c r="D35" s="30"/>
      <c r="E35" s="30"/>
      <c r="F35" s="82"/>
      <c r="H35" s="63" t="s">
        <v>124</v>
      </c>
      <c r="I35" s="64"/>
      <c r="J35" s="65"/>
      <c r="K35" s="61"/>
    </row>
    <row r="36" spans="2:11" ht="21" thickBot="1">
      <c r="B36" s="103" t="s">
        <v>249</v>
      </c>
      <c r="C36" s="100"/>
      <c r="D36" s="83"/>
      <c r="E36" s="83"/>
      <c r="F36" s="84"/>
      <c r="H36" s="66"/>
      <c r="I36" s="67"/>
      <c r="J36" s="68" t="s">
        <v>127</v>
      </c>
      <c r="K36" s="62"/>
    </row>
    <row r="37" spans="8:11" ht="21" thickBot="1">
      <c r="H37" s="69"/>
      <c r="I37" s="70"/>
      <c r="J37" s="71" t="s">
        <v>125</v>
      </c>
      <c r="K37" s="62"/>
    </row>
  </sheetData>
  <sheetProtection password="C9C1" sheet="1" objects="1" scenarios="1"/>
  <mergeCells count="4">
    <mergeCell ref="H25:J25"/>
    <mergeCell ref="D3:H3"/>
    <mergeCell ref="D4:H4"/>
    <mergeCell ref="D5:H5"/>
  </mergeCells>
  <printOptions/>
  <pageMargins left="0.43" right="0.24" top="0.57" bottom="1" header="0.5" footer="0.5"/>
  <pageSetup fitToHeight="1" fitToWidth="1" horizontalDpi="300" verticalDpi="3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Asphalt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Blow</dc:creator>
  <cp:keywords/>
  <dc:description/>
  <cp:lastModifiedBy>EPSA LABCO</cp:lastModifiedBy>
  <cp:lastPrinted>2008-04-07T20:42:17Z</cp:lastPrinted>
  <dcterms:created xsi:type="dcterms:W3CDTF">2002-01-13T14:45:13Z</dcterms:created>
  <dcterms:modified xsi:type="dcterms:W3CDTF">2008-04-08T13:04:09Z</dcterms:modified>
  <cp:category/>
  <cp:version/>
  <cp:contentType/>
  <cp:contentStatus/>
</cp:coreProperties>
</file>